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20" windowHeight="11985"/>
  </bookViews>
  <sheets>
    <sheet name="Příloha Plán 2017,2018-2019" sheetId="1" r:id="rId1"/>
  </sheets>
  <calcPr calcId="145621"/>
</workbook>
</file>

<file path=xl/calcChain.xml><?xml version="1.0" encoding="utf-8"?>
<calcChain xmlns="http://schemas.openxmlformats.org/spreadsheetml/2006/main">
  <c r="D138" i="1" l="1"/>
  <c r="E181" i="1" l="1"/>
  <c r="E173" i="1"/>
  <c r="E170" i="1"/>
  <c r="D153" i="1"/>
  <c r="E153" i="1"/>
  <c r="D145" i="1"/>
  <c r="D154" i="1" s="1"/>
  <c r="E144" i="1"/>
  <c r="E133" i="1"/>
  <c r="E162" i="1" l="1"/>
  <c r="E125" i="1" l="1"/>
  <c r="E134" i="1" s="1"/>
  <c r="E138" i="1" s="1"/>
  <c r="E145" i="1" s="1"/>
  <c r="E154" i="1" s="1"/>
  <c r="D215" i="1" l="1"/>
  <c r="D211" i="1"/>
  <c r="D68" i="1"/>
  <c r="D206" i="1"/>
  <c r="D219" i="1" l="1"/>
  <c r="D222" i="1"/>
  <c r="D208" i="1"/>
  <c r="E33" i="1"/>
  <c r="E32" i="1"/>
  <c r="E31" i="1"/>
  <c r="E30" i="1"/>
  <c r="E34" i="1" l="1"/>
  <c r="D34" i="1"/>
  <c r="E201" i="1" l="1"/>
  <c r="E112" i="1"/>
  <c r="E111" i="1"/>
  <c r="E106" i="1"/>
  <c r="E105" i="1"/>
  <c r="E104" i="1"/>
  <c r="E100" i="1"/>
  <c r="E99" i="1"/>
  <c r="E98" i="1"/>
  <c r="E86" i="1"/>
  <c r="E85" i="1"/>
  <c r="E84" i="1"/>
  <c r="E83" i="1"/>
  <c r="E82" i="1"/>
  <c r="E81" i="1"/>
  <c r="E80" i="1"/>
  <c r="E72" i="1"/>
  <c r="E67" i="1"/>
  <c r="E65" i="1"/>
  <c r="E64" i="1"/>
  <c r="E61" i="1"/>
  <c r="E57" i="1"/>
  <c r="E54" i="1"/>
  <c r="E53" i="1"/>
  <c r="E50" i="1"/>
  <c r="E49" i="1"/>
  <c r="E48" i="1"/>
  <c r="E45" i="1"/>
  <c r="E213" i="1" s="1"/>
  <c r="E44" i="1"/>
  <c r="E212" i="1" s="1"/>
  <c r="E42" i="1"/>
  <c r="E41" i="1"/>
  <c r="E40" i="1"/>
  <c r="E39" i="1"/>
  <c r="E27" i="1"/>
  <c r="E26" i="1"/>
  <c r="E25" i="1"/>
  <c r="E24" i="1"/>
  <c r="E21" i="1"/>
  <c r="E20" i="1"/>
  <c r="E19" i="1"/>
  <c r="E18" i="1"/>
  <c r="E17" i="1"/>
  <c r="E14" i="1"/>
  <c r="E215" i="1" s="1"/>
  <c r="E13" i="1"/>
  <c r="E12" i="1"/>
  <c r="E11" i="1"/>
  <c r="E10" i="1"/>
  <c r="E7" i="1"/>
  <c r="E6" i="1"/>
  <c r="E206" i="1" l="1"/>
  <c r="E207" i="1"/>
  <c r="E214" i="1"/>
  <c r="E210" i="1"/>
  <c r="E209" i="1"/>
  <c r="E221" i="1"/>
  <c r="E219" i="1"/>
  <c r="E208" i="1"/>
  <c r="E220" i="1"/>
  <c r="E211" i="1"/>
  <c r="E222" i="1"/>
  <c r="E223" i="1"/>
  <c r="E55" i="1"/>
  <c r="E195" i="1" s="1"/>
  <c r="E51" i="1"/>
  <c r="E194" i="1" s="1"/>
  <c r="E46" i="1"/>
  <c r="E193" i="1" s="1"/>
  <c r="E216" i="1" l="1"/>
  <c r="E224" i="1"/>
  <c r="E87" i="1"/>
  <c r="E107" i="1" l="1"/>
  <c r="E101" i="1"/>
  <c r="E68" i="1"/>
  <c r="E198" i="1" s="1"/>
  <c r="E62" i="1"/>
  <c r="E197" i="1" s="1"/>
  <c r="E59" i="1"/>
  <c r="E196" i="1" s="1"/>
  <c r="E190" i="1"/>
  <c r="E28" i="1"/>
  <c r="E189" i="1" s="1"/>
  <c r="E22" i="1"/>
  <c r="E188" i="1" s="1"/>
  <c r="E15" i="1"/>
  <c r="E187" i="1" s="1"/>
  <c r="E8" i="1"/>
  <c r="E186" i="1" s="1"/>
  <c r="E108" i="1" l="1"/>
  <c r="E191" i="1"/>
  <c r="E199" i="1"/>
  <c r="E36" i="1"/>
  <c r="E69" i="1"/>
  <c r="E203" i="1" l="1"/>
  <c r="E76" i="1"/>
  <c r="E114" i="1" s="1"/>
  <c r="D125" i="1" l="1"/>
  <c r="D133" i="1"/>
  <c r="D144" i="1"/>
  <c r="D13" i="1"/>
  <c r="D214" i="1" s="1"/>
  <c r="D221" i="1"/>
  <c r="D207" i="1"/>
  <c r="D42" i="1"/>
  <c r="D46" i="1" s="1"/>
  <c r="D51" i="1"/>
  <c r="D194" i="1" s="1"/>
  <c r="D55" i="1"/>
  <c r="D195" i="1" s="1"/>
  <c r="D59" i="1"/>
  <c r="D196" i="1" s="1"/>
  <c r="D62" i="1"/>
  <c r="D197" i="1" s="1"/>
  <c r="D198" i="1"/>
  <c r="D8" i="1"/>
  <c r="D186" i="1" s="1"/>
  <c r="D22" i="1"/>
  <c r="D188" i="1" s="1"/>
  <c r="D28" i="1"/>
  <c r="D189" i="1" s="1"/>
  <c r="D190" i="1"/>
  <c r="D87" i="1"/>
  <c r="D107" i="1"/>
  <c r="D101" i="1"/>
  <c r="D169" i="1"/>
  <c r="D213" i="1"/>
  <c r="D212" i="1"/>
  <c r="D210" i="1"/>
  <c r="D171" i="1"/>
  <c r="D162" i="1"/>
  <c r="D69" i="1" l="1"/>
  <c r="D220" i="1"/>
  <c r="D108" i="1"/>
  <c r="D15" i="1"/>
  <c r="D187" i="1" s="1"/>
  <c r="D191" i="1" s="1"/>
  <c r="D134" i="1"/>
  <c r="D193" i="1"/>
  <c r="D199" i="1" s="1"/>
  <c r="D167" i="1"/>
  <c r="D209" i="1"/>
  <c r="D216" i="1" s="1"/>
  <c r="D223" i="1"/>
  <c r="D203" i="1" l="1"/>
  <c r="D36" i="1"/>
  <c r="D76" i="1" s="1"/>
  <c r="D224" i="1"/>
  <c r="D166" i="1" l="1"/>
  <c r="D170" i="1" s="1"/>
  <c r="D173" i="1" s="1"/>
  <c r="D181" i="1" s="1"/>
  <c r="D114" i="1"/>
</calcChain>
</file>

<file path=xl/sharedStrings.xml><?xml version="1.0" encoding="utf-8"?>
<sst xmlns="http://schemas.openxmlformats.org/spreadsheetml/2006/main" count="351" uniqueCount="173">
  <si>
    <t>Region / země</t>
  </si>
  <si>
    <t>Tematické priority ZRS ČR</t>
  </si>
  <si>
    <t>Témata rozvojové spolupráce v gesci ČRA</t>
  </si>
  <si>
    <t>Programové země</t>
  </si>
  <si>
    <t>Afghánistán</t>
  </si>
  <si>
    <t xml:space="preserve">vzdělávání </t>
  </si>
  <si>
    <t>Inkluzivní sociální rozvoj</t>
  </si>
  <si>
    <t>zemědělství</t>
  </si>
  <si>
    <t>CELKEM Afghánistán</t>
  </si>
  <si>
    <t>Bosna a Hercegovina</t>
  </si>
  <si>
    <t xml:space="preserve">voda a sanitace </t>
  </si>
  <si>
    <t>Udržitelné nakládání s přírodními zdroji</t>
  </si>
  <si>
    <t>Řádná (demokratická) správa věcí veřejných</t>
  </si>
  <si>
    <t>výroba a dodávky energie</t>
  </si>
  <si>
    <t>lesnictví</t>
  </si>
  <si>
    <t>CELKEM Bosna a Hercegovina</t>
  </si>
  <si>
    <t>Etiopie</t>
  </si>
  <si>
    <t>vzdělávání</t>
  </si>
  <si>
    <t>zdravotnictví</t>
  </si>
  <si>
    <t>CELKEM Etiopie</t>
  </si>
  <si>
    <t>Moldavsko</t>
  </si>
  <si>
    <t xml:space="preserve">Moldavsko </t>
  </si>
  <si>
    <t xml:space="preserve">ostatní sociální infrastruktura a služby </t>
  </si>
  <si>
    <t>CELKEM Moldavsko</t>
  </si>
  <si>
    <t>Mongolsko</t>
  </si>
  <si>
    <t>obecná ochrana živ. prostředí</t>
  </si>
  <si>
    <t>CELKEM Mongolsko</t>
  </si>
  <si>
    <t>CELKEM programové země</t>
  </si>
  <si>
    <t>Projektové a ostatní země</t>
  </si>
  <si>
    <t>Gruzie</t>
  </si>
  <si>
    <t>připravenost a prevence katastrof</t>
  </si>
  <si>
    <t>obecná ochrana životního prostředí</t>
  </si>
  <si>
    <t>CELKEM Gruzie</t>
  </si>
  <si>
    <t>Kambodža</t>
  </si>
  <si>
    <t xml:space="preserve">výroba a dodávky energie </t>
  </si>
  <si>
    <t>CELKEM Kambodža</t>
  </si>
  <si>
    <t>Kosovo</t>
  </si>
  <si>
    <t>CELKEM Kosovo</t>
  </si>
  <si>
    <t>Palestina</t>
  </si>
  <si>
    <t>CELKEM Palestina</t>
  </si>
  <si>
    <t>Srbsko</t>
  </si>
  <si>
    <t>CELKEM Srbsko</t>
  </si>
  <si>
    <t>Zambie</t>
  </si>
  <si>
    <t>CELKEM Zambie</t>
  </si>
  <si>
    <t>CELKEM projektové a ostatní země</t>
  </si>
  <si>
    <t>Volné prostředky na témata dle nové Koncepce ZRS od r. 2018</t>
  </si>
  <si>
    <t>CELKEM témata rozvojové spolupráce v gesci ČRA</t>
  </si>
  <si>
    <t>Další rozvojové aktivity v gesci ČRA</t>
  </si>
  <si>
    <t>Dotační programy pro NNO, kraje a vysoké školy</t>
  </si>
  <si>
    <t>ČR</t>
  </si>
  <si>
    <t>osvětové aktivity</t>
  </si>
  <si>
    <t>Globální rozvojové vzdělávání</t>
  </si>
  <si>
    <t>Osvěta veřejnosti a komunikace výsledků ZRS</t>
  </si>
  <si>
    <t>kapacity NNO</t>
  </si>
  <si>
    <t>Posilování kapacit a partnerství NNO</t>
  </si>
  <si>
    <t>Posilování kapacit platforem nestátních subjektů pro rozvojovou spolupráci</t>
  </si>
  <si>
    <t>Prioritní země</t>
  </si>
  <si>
    <t>různé</t>
  </si>
  <si>
    <t>Podpora rozvojových aktivit krajů a obcí v prioritních zemích ZRS ČR</t>
  </si>
  <si>
    <t>Rozvojové země</t>
  </si>
  <si>
    <t xml:space="preserve">Podpora trojstranných projektů českých subjektů                             </t>
  </si>
  <si>
    <t>CELKEM dotační programy v gesci ČRA</t>
  </si>
  <si>
    <t>Podpora zapojení soukromého sektoru do ZRS a vysílání expertů</t>
  </si>
  <si>
    <t>Podpora účasti českých subjektů v evropských finančních rozvojových nástrojích a EDF a příprava studií proveditelnosti</t>
  </si>
  <si>
    <t>Projekty rozvojově - ekonomického partnerství (B2B v ZRS)</t>
  </si>
  <si>
    <t xml:space="preserve">Vysílání expertů do rozvojových zemí </t>
  </si>
  <si>
    <t>CELKEM  podpora zapojení soukromého sektoru do ZRS  a vysílání expertů</t>
  </si>
  <si>
    <t>Administrativní náklady</t>
  </si>
  <si>
    <t>administrativa</t>
  </si>
  <si>
    <t>Výdaje za platy, ostatní platby za provedenou práci a pojistné ČRA</t>
  </si>
  <si>
    <t>Ostatní provozní výdaje na chod ČRA</t>
  </si>
  <si>
    <t>ČR a rozvojové země</t>
  </si>
  <si>
    <t>Další činnosti spojené s řízením, monitoringem, kontrolou a prezentací ZRS -ČRA</t>
  </si>
  <si>
    <t>CELKEM administrativní náklady ČRA</t>
  </si>
  <si>
    <t>CELKEM prostředky na další rozvojové aktivity ČRA</t>
  </si>
  <si>
    <t>CELKEM prostředky v gesci ČRA (témata a další finanční prostředky)</t>
  </si>
  <si>
    <t xml:space="preserve">Rozvojové aktivity v gesci MZV </t>
  </si>
  <si>
    <t xml:space="preserve">Rozvojové aktivity MZV </t>
  </si>
  <si>
    <t xml:space="preserve">Malé lokální rozvojové projekty realizované při ZÚ </t>
  </si>
  <si>
    <t>Celkem rozvojové aktivity MZV</t>
  </si>
  <si>
    <t>Transformační ekonomická a finanční spolupráce (ve spolupráci s MF)</t>
  </si>
  <si>
    <t>obchodní politiky</t>
  </si>
  <si>
    <t>Projekty Aid for Trade (ve spolupráci s MPO)</t>
  </si>
  <si>
    <t>Projekty v oblasti bezpečnosti (ve spolupráci s MV)</t>
  </si>
  <si>
    <t>Rozvojové projekty ve spolupráci s mezinárodními organizacemi</t>
  </si>
  <si>
    <t>Projekty realizované ve spolupráci s UNDP</t>
  </si>
  <si>
    <t>Zapojování českých dobrovolníků do programů UNV</t>
  </si>
  <si>
    <t>Vysílání českých rozvojových expertů do mezinárodních organizací</t>
  </si>
  <si>
    <t>Provoz Národního kontaktního místa pro spolupráci s UNV</t>
  </si>
  <si>
    <t>CELKEM rozvojové aktivity v gesci MZV</t>
  </si>
  <si>
    <t>Externí evaluace a kontrola ZRS</t>
  </si>
  <si>
    <t>Výdaje na platy, NZŽN, pojistné, cestovné, nájemné byt a ostatní platby za provedenou práci (rozvojoví diplomaté při ZÚ)</t>
  </si>
  <si>
    <t>Místní síly (koordinátoři ZRS) při ZÚ</t>
  </si>
  <si>
    <t xml:space="preserve">CELKEM koordinace ZRS ČR </t>
  </si>
  <si>
    <t>Další aktivity v gesci MZV</t>
  </si>
  <si>
    <t>Transformační spolupráce</t>
  </si>
  <si>
    <t>rozpočtová podpora</t>
  </si>
  <si>
    <t xml:space="preserve">Programy realizované v gesci jiných resortů </t>
  </si>
  <si>
    <t xml:space="preserve">Ministerstvo školství, mládeže a tělovýchovy </t>
  </si>
  <si>
    <t>Program vládních stipendií - Zahraniční studenti přijatí ke studiu na VVŠ v ČR včetně související agendy</t>
  </si>
  <si>
    <t>CELKEM Ministerstvo školství, mládeže a tělovýchovy (Program vládních stipendií)</t>
  </si>
  <si>
    <t>Ministerstvo zdravotnictví</t>
  </si>
  <si>
    <t>Zdravotní péče o vládní stipendisty</t>
  </si>
  <si>
    <t xml:space="preserve">CELKEM programy realizované v gesci jiných resortů </t>
  </si>
  <si>
    <t>SHRNUTÍ</t>
  </si>
  <si>
    <t>Prostředky vyčleněné do kapitol jednotlivých resortů</t>
  </si>
  <si>
    <t>Ministerstvo zahraničních věcí (MZV včetně ČRA)</t>
  </si>
  <si>
    <t>Další prostředky v gesci ČRA</t>
  </si>
  <si>
    <t>Rozvojové aktivity v gesci MZV</t>
  </si>
  <si>
    <t>Zahraniční rozvojová spolupráce celkem  (MZV včetně ČRA)</t>
  </si>
  <si>
    <t>Humanitární pomoc</t>
  </si>
  <si>
    <t>Afghánistán - Peněžní dar na podporu afghánských rozvojových programů dle UV č.638/2012 a předpokládané pokračování od r. 2018</t>
  </si>
  <si>
    <t>Ministerstvo zahraničních věcí (MZV) - celkem (včetně ČRA)</t>
  </si>
  <si>
    <t>Ministerstvo školství, mládeže a tělovýchovy</t>
  </si>
  <si>
    <t>Zahraniční studenti přijatí ke studiu na VVŠ v ČR včetně související agendy</t>
  </si>
  <si>
    <t>CELKEM ZRS ČR</t>
  </si>
  <si>
    <t>SHRNUTÍ - TERITORIÁLNÍ A SEKTOROVÁ STRUKTURA ZRS</t>
  </si>
  <si>
    <r>
      <t xml:space="preserve">Teritoriální struktura ZRS </t>
    </r>
    <r>
      <rPr>
        <sz val="9"/>
        <rFont val="Arial"/>
        <family val="2"/>
        <charset val="238"/>
      </rPr>
      <t>(pouze témata rozvojové spolupráce)</t>
    </r>
  </si>
  <si>
    <t>CELKEM rozvojové země</t>
  </si>
  <si>
    <r>
      <t xml:space="preserve">Sektorová struktura ZRS </t>
    </r>
    <r>
      <rPr>
        <sz val="9"/>
        <rFont val="Arial"/>
        <family val="2"/>
        <charset val="238"/>
      </rPr>
      <t>(pouze témata rozvojové spolupráce)</t>
    </r>
  </si>
  <si>
    <t>Vzdělávání</t>
  </si>
  <si>
    <t>Zdravotnictví</t>
  </si>
  <si>
    <t>Voda a sanitace</t>
  </si>
  <si>
    <t>Ostatní sociální infrastruktura a služby</t>
  </si>
  <si>
    <t>Výroba a dodávky energie</t>
  </si>
  <si>
    <t xml:space="preserve">Připravenost a prevence katastrof </t>
  </si>
  <si>
    <t xml:space="preserve">Obecná ochrana životního prostředí </t>
  </si>
  <si>
    <t xml:space="preserve">Zemědělství </t>
  </si>
  <si>
    <t>Lesnictví</t>
  </si>
  <si>
    <t>CELKEM sektory rozvojové spolupráce</t>
  </si>
  <si>
    <t>Tématická struktura ZRS</t>
  </si>
  <si>
    <t>CELKEM tématické priority rozvojové spolupráce</t>
  </si>
  <si>
    <t>Veřejná správa a občanská společnost</t>
  </si>
  <si>
    <t>Ekonomický růst</t>
  </si>
  <si>
    <t>veřejná správa a občanská společnost</t>
  </si>
  <si>
    <t xml:space="preserve">veřejná správa a občanská společnost </t>
  </si>
  <si>
    <t>Projekty ve spolupráci s mezinárodními organizacemi (např. UNFPA, FAO, ILO, apod.)</t>
  </si>
  <si>
    <t>Peněžní dar na podporu afghánských rozvojových programů a na fungování Afghánských národních bezpečnostních sil dle UV č.638/2012 a předpokládané pokračování do r. 2017</t>
  </si>
  <si>
    <t>Peněžní dar na podporu afghánských rozvojových programů a na fungování Afghánských národních bezpečnostních sil - předpokládané pokračování od r. 2018</t>
  </si>
  <si>
    <t xml:space="preserve"> Sektor dle terminologie OECD</t>
  </si>
  <si>
    <t>Zdravotní služby pro vládní stipendisty</t>
  </si>
  <si>
    <t>Zemědělství a rozvoj venkova</t>
  </si>
  <si>
    <t xml:space="preserve">Zemědělství a rozvoj venkova            </t>
  </si>
  <si>
    <t>Zemědělsví a rozvoj venkova</t>
  </si>
  <si>
    <r>
      <t xml:space="preserve">Vysílání českých učitelů do rozvojových zemí                                </t>
    </r>
    <r>
      <rPr>
        <sz val="10"/>
        <rFont val="Arial"/>
        <family val="2"/>
        <charset val="238"/>
      </rPr>
      <t xml:space="preserve">  </t>
    </r>
  </si>
  <si>
    <r>
      <t xml:space="preserve">                                          Příloha č. 1 - Celkový přehled čerpání prostředků na realizaci ZRS ČR dle UV č. 631/2016</t>
    </r>
    <r>
      <rPr>
        <b/>
        <sz val="10"/>
        <rFont val="Arial"/>
        <family val="2"/>
        <charset val="238"/>
      </rPr>
      <t xml:space="preserve">                 </t>
    </r>
    <r>
      <rPr>
        <b/>
        <sz val="10"/>
        <color indexed="8"/>
        <rFont val="Arial"/>
        <family val="2"/>
      </rPr>
      <t xml:space="preserve">                               </t>
    </r>
  </si>
  <si>
    <t>Ukrajina</t>
  </si>
  <si>
    <t>Podpora nigerijských studentů</t>
  </si>
  <si>
    <t xml:space="preserve">Rozpočtové opatření na ORS/MZV </t>
  </si>
  <si>
    <t xml:space="preserve">Příspěvek pro činnosti ČR v rámbi Globální koalice proti tzv. Islámského státu a pro rekonstrukci Iráku </t>
  </si>
  <si>
    <t xml:space="preserve">výroby a dodávky energie </t>
  </si>
  <si>
    <r>
      <t xml:space="preserve">Objem finančních prostředků </t>
    </r>
    <r>
      <rPr>
        <b/>
        <sz val="9"/>
        <rFont val="Arial"/>
        <family val="2"/>
      </rPr>
      <t xml:space="preserve">2017           </t>
    </r>
    <r>
      <rPr>
        <sz val="8"/>
        <rFont val="Arial"/>
        <family val="2"/>
      </rPr>
      <t>(v tis. Kč)</t>
    </r>
  </si>
  <si>
    <r>
      <t xml:space="preserve">Skutečné čerpání finančních prostředků </t>
    </r>
    <r>
      <rPr>
        <b/>
        <sz val="8"/>
        <rFont val="Arial"/>
        <family val="2"/>
        <charset val="238"/>
      </rPr>
      <t xml:space="preserve">2017 </t>
    </r>
    <r>
      <rPr>
        <sz val="8"/>
        <rFont val="Arial"/>
        <family val="2"/>
        <charset val="238"/>
      </rPr>
      <t xml:space="preserve">
(v tis. Kč)</t>
    </r>
  </si>
  <si>
    <r>
      <t xml:space="preserve">Rozvojové aktivity ve spolupráci s institucemi státní správy </t>
    </r>
    <r>
      <rPr>
        <b/>
        <i/>
        <sz val="8"/>
        <color indexed="8"/>
        <rFont val="Arial"/>
        <family val="2"/>
        <charset val="238"/>
      </rPr>
      <t>(podrobněji k jednotlivým projektům viz příloha č. 3)</t>
    </r>
  </si>
  <si>
    <t>Celkem rozvojové projekty ve spolupráci s mezinárodními organizacemi dle UV 631/2016</t>
  </si>
  <si>
    <r>
      <t xml:space="preserve">Koordinace ZRS ČR v gesci MZV </t>
    </r>
    <r>
      <rPr>
        <b/>
        <i/>
        <sz val="8"/>
        <color indexed="8"/>
        <rFont val="Arial"/>
        <family val="2"/>
        <charset val="238"/>
      </rPr>
      <t>(kromě administrativních nákladů ČRA)</t>
    </r>
  </si>
  <si>
    <r>
      <t xml:space="preserve">Celkem aktivity ve spolupráci s institucemi státní správy </t>
    </r>
    <r>
      <rPr>
        <b/>
        <i/>
        <sz val="8"/>
        <color indexed="8"/>
        <rFont val="Arial"/>
        <family val="2"/>
        <charset val="238"/>
      </rPr>
      <t>(RO)</t>
    </r>
  </si>
  <si>
    <t>RO z ČRA</t>
  </si>
  <si>
    <t>NNV 2016</t>
  </si>
  <si>
    <t>UV 206/2017</t>
  </si>
  <si>
    <t>Humanitární pomoc po zohlednění NNV</t>
  </si>
  <si>
    <t>Transformační spolupráce po zohlednění navýšení (UV 401/2017)</t>
  </si>
  <si>
    <t>Peněžní dar UNDP Irák</t>
  </si>
  <si>
    <t>Peněžní dar UNDP, UNMAS Irák</t>
  </si>
  <si>
    <t>ZRS PAÚ</t>
  </si>
  <si>
    <t>CELKEM rozvojové aktivity, koordinace a další aktivity v gesci MZV po zohlednění RO a NNV</t>
  </si>
  <si>
    <t>CELKEM rozvojové aktivity a koordinace v gesci MZV po RO a NNV</t>
  </si>
  <si>
    <t>CELKEM rozvojové aktivity v gesci MZV po RO a NNV</t>
  </si>
  <si>
    <t>Humanitární pomoc dle UV 631/2016</t>
  </si>
  <si>
    <t>Transformační spolupráce dle UV 631/2016</t>
  </si>
  <si>
    <t>CELKEM další aktivity v gesci MZV dle UV 631/2016 včetně NNV</t>
  </si>
  <si>
    <t>Ukrajina (UV 401/2017)</t>
  </si>
  <si>
    <t xml:space="preserve">Rozpočtové opatření na MŠMT prostřednictvím MZV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</si>
</sst>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</font>
    <font>
      <b/>
      <sz val="10"/>
      <name val="Arial"/>
      <family val="2"/>
      <charset val="238"/>
    </font>
    <font>
      <sz val="8"/>
      <color indexed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indexed="8"/>
      <name val="Arial"/>
      <family val="2"/>
      <charset val="238"/>
    </font>
    <font>
      <b/>
      <sz val="9"/>
      <color indexed="10"/>
      <name val="Arial"/>
      <family val="2"/>
    </font>
    <font>
      <b/>
      <sz val="9"/>
      <color indexed="10"/>
      <name val="Arial CE"/>
      <charset val="238"/>
    </font>
    <font>
      <sz val="9"/>
      <color indexed="10"/>
      <name val="Arial CE"/>
      <charset val="238"/>
    </font>
    <font>
      <b/>
      <sz val="8"/>
      <color indexed="12"/>
      <name val="Arial"/>
      <family val="2"/>
    </font>
    <font>
      <sz val="10"/>
      <name val="Arial"/>
      <family val="2"/>
      <charset val="238"/>
    </font>
    <font>
      <b/>
      <sz val="9"/>
      <color indexed="8"/>
      <name val="Arial"/>
      <family val="2"/>
    </font>
    <font>
      <sz val="8"/>
      <name val="Arial CE"/>
      <family val="2"/>
      <charset val="238"/>
    </font>
    <font>
      <sz val="10"/>
      <color indexed="12"/>
      <name val="Arial CE"/>
      <charset val="238"/>
    </font>
    <font>
      <sz val="8"/>
      <name val="Arial CE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b/>
      <sz val="8"/>
      <name val="Arial"/>
      <family val="2"/>
      <charset val="238"/>
    </font>
    <font>
      <b/>
      <sz val="10"/>
      <color indexed="10"/>
      <name val="Arial CE"/>
      <charset val="238"/>
    </font>
    <font>
      <sz val="9"/>
      <name val="Arial CE"/>
      <charset val="238"/>
    </font>
    <font>
      <b/>
      <sz val="8"/>
      <name val="Arial CE"/>
      <charset val="238"/>
    </font>
    <font>
      <b/>
      <sz val="8"/>
      <name val="Arial"/>
      <family val="2"/>
    </font>
    <font>
      <sz val="9"/>
      <name val="Arial"/>
      <family val="2"/>
      <charset val="238"/>
    </font>
    <font>
      <sz val="8"/>
      <color indexed="12"/>
      <name val="Arial CE"/>
      <charset val="238"/>
    </font>
    <font>
      <sz val="11"/>
      <color indexed="8"/>
      <name val="Calibri"/>
      <family val="2"/>
      <charset val="238"/>
    </font>
    <font>
      <sz val="8"/>
      <color indexed="8"/>
      <name val="Arial CE"/>
      <charset val="238"/>
    </font>
    <font>
      <b/>
      <sz val="8"/>
      <color indexed="8"/>
      <name val="Arial"/>
      <family val="2"/>
    </font>
    <font>
      <sz val="11"/>
      <color indexed="8"/>
      <name val="Calibri"/>
      <family val="2"/>
      <charset val="238"/>
    </font>
    <font>
      <sz val="8"/>
      <color indexed="8"/>
      <name val="Arial CE"/>
      <family val="2"/>
      <charset val="238"/>
    </font>
    <font>
      <sz val="10"/>
      <color indexed="8"/>
      <name val="Arial CE"/>
      <charset val="238"/>
    </font>
    <font>
      <sz val="11"/>
      <name val="Calibri"/>
      <family val="2"/>
      <charset val="238"/>
    </font>
    <font>
      <sz val="11"/>
      <color indexed="55"/>
      <name val="Calibri"/>
      <family val="2"/>
      <charset val="238"/>
    </font>
    <font>
      <sz val="11"/>
      <name val="Calibri"/>
      <family val="2"/>
      <charset val="238"/>
      <scheme val="minor"/>
    </font>
    <font>
      <b/>
      <i/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gray125">
        <fgColor indexed="22"/>
        <b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358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4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1" applyFont="1" applyBorder="1" applyAlignment="1">
      <alignment horizontal="left" vertical="center" wrapText="1"/>
    </xf>
    <xf numFmtId="3" fontId="5" fillId="0" borderId="7" xfId="0" applyNumberFormat="1" applyFont="1" applyFill="1" applyBorder="1"/>
    <xf numFmtId="0" fontId="5" fillId="0" borderId="8" xfId="0" applyFont="1" applyBorder="1" applyAlignment="1">
      <alignment horizontal="center" vertical="center" wrapText="1"/>
    </xf>
    <xf numFmtId="0" fontId="5" fillId="0" borderId="9" xfId="1" applyFont="1" applyBorder="1" applyAlignment="1">
      <alignment horizontal="left" vertical="center" wrapText="1"/>
    </xf>
    <xf numFmtId="3" fontId="5" fillId="0" borderId="10" xfId="0" applyNumberFormat="1" applyFont="1" applyFill="1" applyBorder="1"/>
    <xf numFmtId="0" fontId="10" fillId="0" borderId="11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left" vertical="center" wrapText="1"/>
    </xf>
    <xf numFmtId="0" fontId="5" fillId="0" borderId="10" xfId="1" applyFont="1" applyFill="1" applyBorder="1" applyAlignment="1">
      <alignment horizontal="left" vertical="center" wrapText="1"/>
    </xf>
    <xf numFmtId="3" fontId="5" fillId="0" borderId="9" xfId="0" applyNumberFormat="1" applyFont="1" applyFill="1" applyBorder="1"/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3" fontId="5" fillId="0" borderId="9" xfId="0" applyNumberFormat="1" applyFont="1" applyFill="1" applyBorder="1" applyAlignment="1">
      <alignment horizontal="right" vertical="center" wrapText="1"/>
    </xf>
    <xf numFmtId="0" fontId="13" fillId="0" borderId="8" xfId="0" applyFont="1" applyFill="1" applyBorder="1" applyAlignment="1">
      <alignment horizontal="center" vertical="center"/>
    </xf>
    <xf numFmtId="3" fontId="13" fillId="0" borderId="9" xfId="0" applyNumberFormat="1" applyFont="1" applyFill="1" applyBorder="1" applyAlignment="1">
      <alignment horizontal="left" vertical="center"/>
    </xf>
    <xf numFmtId="0" fontId="13" fillId="0" borderId="10" xfId="0" applyFont="1" applyFill="1" applyBorder="1" applyAlignment="1">
      <alignment horizontal="left" vertical="center"/>
    </xf>
    <xf numFmtId="3" fontId="13" fillId="0" borderId="9" xfId="0" applyNumberFormat="1" applyFont="1" applyFill="1" applyBorder="1" applyAlignment="1">
      <alignment horizontal="right" vertical="center"/>
    </xf>
    <xf numFmtId="3" fontId="5" fillId="0" borderId="9" xfId="0" applyNumberFormat="1" applyFont="1" applyFill="1" applyBorder="1" applyAlignment="1">
      <alignment horizontal="left"/>
    </xf>
    <xf numFmtId="3" fontId="5" fillId="0" borderId="9" xfId="0" applyNumberFormat="1" applyFont="1" applyFill="1" applyBorder="1" applyAlignment="1">
      <alignment horizontal="left" vertical="center" wrapText="1"/>
    </xf>
    <xf numFmtId="3" fontId="5" fillId="0" borderId="10" xfId="0" applyNumberFormat="1" applyFont="1" applyFill="1" applyBorder="1" applyAlignment="1">
      <alignment horizontal="right" vertical="center" wrapText="1"/>
    </xf>
    <xf numFmtId="0" fontId="13" fillId="0" borderId="10" xfId="0" applyFont="1" applyFill="1" applyBorder="1" applyAlignment="1">
      <alignment vertical="center" wrapText="1"/>
    </xf>
    <xf numFmtId="3" fontId="13" fillId="0" borderId="9" xfId="0" applyNumberFormat="1" applyFont="1" applyFill="1" applyBorder="1" applyAlignment="1">
      <alignment horizontal="right" vertical="center" wrapText="1"/>
    </xf>
    <xf numFmtId="0" fontId="12" fillId="0" borderId="3" xfId="0" applyFont="1" applyFill="1" applyBorder="1" applyAlignment="1">
      <alignment vertical="center" wrapText="1"/>
    </xf>
    <xf numFmtId="0" fontId="0" fillId="0" borderId="0" xfId="0" applyBorder="1" applyAlignment="1"/>
    <xf numFmtId="3" fontId="12" fillId="3" borderId="13" xfId="0" applyNumberFormat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3" fontId="5" fillId="0" borderId="9" xfId="0" applyNumberFormat="1" applyFont="1" applyFill="1" applyBorder="1" applyAlignment="1">
      <alignment horizontal="left" vertical="center"/>
    </xf>
    <xf numFmtId="3" fontId="5" fillId="0" borderId="9" xfId="0" applyNumberFormat="1" applyFont="1" applyFill="1" applyBorder="1" applyAlignment="1">
      <alignment horizontal="right" vertical="center"/>
    </xf>
    <xf numFmtId="0" fontId="13" fillId="0" borderId="10" xfId="0" applyFont="1" applyFill="1" applyBorder="1" applyAlignment="1">
      <alignment horizontal="left" vertical="center" wrapText="1"/>
    </xf>
    <xf numFmtId="3" fontId="13" fillId="0" borderId="9" xfId="0" applyNumberFormat="1" applyFont="1" applyFill="1" applyBorder="1" applyAlignment="1">
      <alignment horizontal="left" vertical="center" wrapText="1"/>
    </xf>
    <xf numFmtId="0" fontId="5" fillId="0" borderId="10" xfId="1" applyFont="1" applyBorder="1" applyAlignment="1">
      <alignment horizontal="left" vertical="center" wrapText="1"/>
    </xf>
    <xf numFmtId="3" fontId="12" fillId="3" borderId="14" xfId="0" applyNumberFormat="1" applyFont="1" applyFill="1" applyBorder="1" applyAlignment="1">
      <alignment horizontal="right" vertical="center" wrapText="1"/>
    </xf>
    <xf numFmtId="3" fontId="16" fillId="0" borderId="13" xfId="0" applyNumberFormat="1" applyFont="1" applyFill="1" applyBorder="1" applyAlignment="1">
      <alignment horizontal="right" vertical="center" wrapText="1"/>
    </xf>
    <xf numFmtId="0" fontId="0" fillId="0" borderId="3" xfId="0" applyBorder="1" applyAlignment="1"/>
    <xf numFmtId="3" fontId="12" fillId="4" borderId="13" xfId="0" applyNumberFormat="1" applyFont="1" applyFill="1" applyBorder="1" applyAlignment="1">
      <alignment horizontal="right" vertical="center" wrapText="1"/>
    </xf>
    <xf numFmtId="0" fontId="5" fillId="0" borderId="15" xfId="0" applyFont="1" applyBorder="1" applyAlignment="1">
      <alignment horizontal="center" vertical="center" wrapText="1"/>
    </xf>
    <xf numFmtId="0" fontId="15" fillId="0" borderId="16" xfId="0" applyFont="1" applyBorder="1"/>
    <xf numFmtId="0" fontId="5" fillId="0" borderId="16" xfId="0" applyFont="1" applyBorder="1" applyAlignment="1">
      <alignment horizontal="left" vertical="center" wrapText="1"/>
    </xf>
    <xf numFmtId="3" fontId="13" fillId="0" borderId="16" xfId="0" applyNumberFormat="1" applyFont="1" applyFill="1" applyBorder="1"/>
    <xf numFmtId="0" fontId="15" fillId="0" borderId="9" xfId="0" applyFont="1" applyFill="1" applyBorder="1"/>
    <xf numFmtId="3" fontId="13" fillId="0" borderId="9" xfId="0" applyNumberFormat="1" applyFont="1" applyFill="1" applyBorder="1" applyAlignment="1">
      <alignment horizontal="right"/>
    </xf>
    <xf numFmtId="0" fontId="15" fillId="0" borderId="9" xfId="0" applyFont="1" applyBorder="1"/>
    <xf numFmtId="0" fontId="5" fillId="0" borderId="9" xfId="0" applyFont="1" applyBorder="1" applyAlignment="1">
      <alignment horizontal="lef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15" fillId="0" borderId="6" xfId="0" applyFont="1" applyBorder="1"/>
    <xf numFmtId="0" fontId="5" fillId="0" borderId="19" xfId="0" applyFont="1" applyFill="1" applyBorder="1" applyAlignment="1">
      <alignment horizontal="left" vertical="center" wrapText="1"/>
    </xf>
    <xf numFmtId="3" fontId="13" fillId="0" borderId="19" xfId="0" applyNumberFormat="1" applyFont="1" applyFill="1" applyBorder="1" applyAlignment="1">
      <alignment horizontal="right" vertical="center"/>
    </xf>
    <xf numFmtId="0" fontId="17" fillId="0" borderId="8" xfId="0" applyFont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right" vertical="center" wrapText="1"/>
    </xf>
    <xf numFmtId="0" fontId="17" fillId="0" borderId="8" xfId="0" applyFont="1" applyBorder="1" applyAlignment="1">
      <alignment horizontal="center"/>
    </xf>
    <xf numFmtId="3" fontId="4" fillId="5" borderId="20" xfId="0" applyNumberFormat="1" applyFont="1" applyFill="1" applyBorder="1" applyAlignment="1">
      <alignment horizontal="right" vertical="center" wrapText="1"/>
    </xf>
    <xf numFmtId="3" fontId="4" fillId="5" borderId="21" xfId="0" applyNumberFormat="1" applyFont="1" applyFill="1" applyBorder="1" applyAlignment="1">
      <alignment horizontal="right" vertical="center" wrapText="1"/>
    </xf>
    <xf numFmtId="3" fontId="4" fillId="5" borderId="17" xfId="0" applyNumberFormat="1" applyFont="1" applyFill="1" applyBorder="1" applyAlignment="1">
      <alignment horizontal="right" vertical="center" wrapText="1"/>
    </xf>
    <xf numFmtId="3" fontId="4" fillId="5" borderId="13" xfId="0" applyNumberFormat="1" applyFont="1" applyFill="1" applyBorder="1" applyAlignment="1">
      <alignment horizontal="right" vertical="center" wrapText="1"/>
    </xf>
    <xf numFmtId="3" fontId="4" fillId="6" borderId="13" xfId="0" applyNumberFormat="1" applyFont="1" applyFill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3" fontId="17" fillId="0" borderId="9" xfId="0" applyNumberFormat="1" applyFont="1" applyFill="1" applyBorder="1" applyAlignment="1">
      <alignment horizontal="right" vertical="center" wrapText="1"/>
    </xf>
    <xf numFmtId="3" fontId="12" fillId="5" borderId="21" xfId="0" applyNumberFormat="1" applyFont="1" applyFill="1" applyBorder="1" applyAlignment="1">
      <alignment horizontal="right" vertical="center" wrapText="1"/>
    </xf>
    <xf numFmtId="3" fontId="6" fillId="0" borderId="9" xfId="0" applyNumberFormat="1" applyFont="1" applyFill="1" applyBorder="1" applyAlignment="1">
      <alignment horizontal="right" vertical="center" wrapText="1"/>
    </xf>
    <xf numFmtId="3" fontId="20" fillId="5" borderId="20" xfId="0" applyNumberFormat="1" applyFont="1" applyFill="1" applyBorder="1" applyAlignment="1">
      <alignment horizontal="right" vertical="center" wrapText="1"/>
    </xf>
    <xf numFmtId="3" fontId="20" fillId="5" borderId="21" xfId="0" applyNumberFormat="1" applyFont="1" applyFill="1" applyBorder="1" applyAlignment="1">
      <alignment horizontal="right" vertical="center" wrapText="1"/>
    </xf>
    <xf numFmtId="3" fontId="4" fillId="8" borderId="13" xfId="0" applyNumberFormat="1" applyFont="1" applyFill="1" applyBorder="1" applyAlignment="1">
      <alignment horizontal="righ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vertical="center"/>
    </xf>
    <xf numFmtId="0" fontId="13" fillId="0" borderId="9" xfId="0" applyFont="1" applyFill="1" applyBorder="1" applyAlignment="1">
      <alignment horizontal="left" vertical="center" wrapText="1"/>
    </xf>
    <xf numFmtId="3" fontId="5" fillId="5" borderId="9" xfId="0" applyNumberFormat="1" applyFont="1" applyFill="1" applyBorder="1" applyAlignment="1">
      <alignment horizontal="right" vertical="center" wrapText="1"/>
    </xf>
    <xf numFmtId="3" fontId="5" fillId="5" borderId="10" xfId="0" applyNumberFormat="1" applyFont="1" applyFill="1" applyBorder="1" applyAlignment="1">
      <alignment horizontal="right" vertical="center" wrapText="1"/>
    </xf>
    <xf numFmtId="3" fontId="4" fillId="8" borderId="23" xfId="0" applyNumberFormat="1" applyFont="1" applyFill="1" applyBorder="1" applyAlignment="1">
      <alignment horizontal="right" vertical="center" wrapText="1"/>
    </xf>
    <xf numFmtId="0" fontId="27" fillId="3" borderId="5" xfId="0" applyFont="1" applyFill="1" applyBorder="1"/>
    <xf numFmtId="0" fontId="0" fillId="3" borderId="6" xfId="0" applyFill="1" applyBorder="1"/>
    <xf numFmtId="3" fontId="17" fillId="0" borderId="10" xfId="0" applyNumberFormat="1" applyFont="1" applyFill="1" applyBorder="1" applyAlignment="1">
      <alignment horizontal="right" vertical="center" wrapText="1"/>
    </xf>
    <xf numFmtId="3" fontId="17" fillId="0" borderId="14" xfId="0" applyNumberFormat="1" applyFont="1" applyFill="1" applyBorder="1" applyAlignment="1">
      <alignment horizontal="right" vertical="center" wrapText="1"/>
    </xf>
    <xf numFmtId="3" fontId="17" fillId="0" borderId="24" xfId="0" applyNumberFormat="1" applyFont="1" applyFill="1" applyBorder="1" applyAlignment="1">
      <alignment horizontal="right" vertical="center" wrapText="1"/>
    </xf>
    <xf numFmtId="3" fontId="4" fillId="9" borderId="13" xfId="0" applyNumberFormat="1" applyFont="1" applyFill="1" applyBorder="1" applyAlignment="1">
      <alignment horizontal="right" vertical="center" wrapText="1"/>
    </xf>
    <xf numFmtId="3" fontId="4" fillId="9" borderId="25" xfId="0" applyNumberFormat="1" applyFont="1" applyFill="1" applyBorder="1" applyAlignment="1">
      <alignment horizontal="right" vertical="center" wrapText="1"/>
    </xf>
    <xf numFmtId="3" fontId="17" fillId="0" borderId="16" xfId="0" applyNumberFormat="1" applyFont="1" applyFill="1" applyBorder="1" applyAlignment="1">
      <alignment horizontal="right" vertical="center" wrapText="1"/>
    </xf>
    <xf numFmtId="3" fontId="4" fillId="10" borderId="17" xfId="0" applyNumberFormat="1" applyFont="1" applyFill="1" applyBorder="1" applyAlignment="1">
      <alignment horizontal="right" vertical="center" wrapText="1"/>
    </xf>
    <xf numFmtId="3" fontId="4" fillId="10" borderId="26" xfId="0" applyNumberFormat="1" applyFont="1" applyFill="1" applyBorder="1" applyAlignment="1">
      <alignment horizontal="right" vertical="center" wrapText="1"/>
    </xf>
    <xf numFmtId="3" fontId="4" fillId="3" borderId="6" xfId="0" applyNumberFormat="1" applyFont="1" applyFill="1" applyBorder="1" applyAlignment="1">
      <alignment horizontal="right" vertical="center" wrapText="1"/>
    </xf>
    <xf numFmtId="0" fontId="17" fillId="0" borderId="27" xfId="0" applyFont="1" applyFill="1" applyBorder="1" applyAlignment="1">
      <alignment vertical="center"/>
    </xf>
    <xf numFmtId="0" fontId="4" fillId="0" borderId="28" xfId="0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horizontal="right" vertical="center" wrapText="1"/>
    </xf>
    <xf numFmtId="3" fontId="4" fillId="11" borderId="20" xfId="0" applyNumberFormat="1" applyFont="1" applyFill="1" applyBorder="1" applyAlignment="1">
      <alignment horizontal="right" vertical="center" wrapText="1"/>
    </xf>
    <xf numFmtId="0" fontId="0" fillId="0" borderId="29" xfId="0" applyBorder="1"/>
    <xf numFmtId="0" fontId="0" fillId="0" borderId="22" xfId="0" applyBorder="1"/>
    <xf numFmtId="0" fontId="10" fillId="7" borderId="22" xfId="0" applyFont="1" applyFill="1" applyBorder="1" applyAlignment="1">
      <alignment horizontal="left" vertical="center"/>
    </xf>
    <xf numFmtId="3" fontId="15" fillId="0" borderId="9" xfId="0" applyNumberFormat="1" applyFont="1" applyFill="1" applyBorder="1"/>
    <xf numFmtId="3" fontId="15" fillId="0" borderId="9" xfId="0" applyNumberFormat="1" applyFont="1" applyBorder="1"/>
    <xf numFmtId="0" fontId="5" fillId="0" borderId="28" xfId="0" applyFont="1" applyFill="1" applyBorder="1" applyAlignment="1">
      <alignment horizontal="center" vertical="center" wrapText="1"/>
    </xf>
    <xf numFmtId="0" fontId="15" fillId="0" borderId="17" xfId="0" applyFont="1" applyBorder="1"/>
    <xf numFmtId="3" fontId="15" fillId="0" borderId="17" xfId="0" applyNumberFormat="1" applyFont="1" applyBorder="1"/>
    <xf numFmtId="3" fontId="30" fillId="3" borderId="13" xfId="0" applyNumberFormat="1" applyFont="1" applyFill="1" applyBorder="1" applyAlignment="1">
      <alignment vertical="center" wrapText="1"/>
    </xf>
    <xf numFmtId="3" fontId="23" fillId="3" borderId="13" xfId="0" applyNumberFormat="1" applyFont="1" applyFill="1" applyBorder="1" applyAlignment="1">
      <alignment vertical="center" wrapText="1"/>
    </xf>
    <xf numFmtId="3" fontId="15" fillId="0" borderId="10" xfId="0" applyNumberFormat="1" applyFont="1" applyBorder="1"/>
    <xf numFmtId="3" fontId="15" fillId="0" borderId="23" xfId="0" applyNumberFormat="1" applyFont="1" applyBorder="1"/>
    <xf numFmtId="3" fontId="30" fillId="3" borderId="25" xfId="0" applyNumberFormat="1" applyFont="1" applyFill="1" applyBorder="1" applyAlignment="1">
      <alignment vertical="center" wrapText="1"/>
    </xf>
    <xf numFmtId="3" fontId="12" fillId="4" borderId="25" xfId="0" applyNumberFormat="1" applyFont="1" applyFill="1" applyBorder="1" applyAlignment="1">
      <alignment horizontal="right" vertical="center" wrapText="1"/>
    </xf>
    <xf numFmtId="0" fontId="0" fillId="0" borderId="3" xfId="0" applyBorder="1"/>
    <xf numFmtId="0" fontId="0" fillId="0" borderId="0" xfId="0" applyBorder="1"/>
    <xf numFmtId="3" fontId="6" fillId="0" borderId="16" xfId="0" applyNumberFormat="1" applyFont="1" applyFill="1" applyBorder="1" applyAlignment="1">
      <alignment horizontal="right" vertical="center" wrapText="1"/>
    </xf>
    <xf numFmtId="3" fontId="12" fillId="4" borderId="21" xfId="0" applyNumberFormat="1" applyFont="1" applyFill="1" applyBorder="1" applyAlignment="1">
      <alignment horizontal="right" vertical="center" wrapText="1"/>
    </xf>
    <xf numFmtId="3" fontId="12" fillId="4" borderId="23" xfId="0" applyNumberFormat="1" applyFont="1" applyFill="1" applyBorder="1" applyAlignment="1">
      <alignment horizontal="right" vertical="center" wrapText="1"/>
    </xf>
    <xf numFmtId="0" fontId="21" fillId="0" borderId="4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26" fillId="0" borderId="31" xfId="0" applyFont="1" applyBorder="1"/>
    <xf numFmtId="0" fontId="0" fillId="0" borderId="32" xfId="0" applyBorder="1"/>
    <xf numFmtId="0" fontId="0" fillId="0" borderId="33" xfId="0" applyBorder="1"/>
    <xf numFmtId="3" fontId="15" fillId="0" borderId="33" xfId="0" applyNumberFormat="1" applyFont="1" applyBorder="1"/>
    <xf numFmtId="0" fontId="26" fillId="0" borderId="34" xfId="0" applyFont="1" applyBorder="1"/>
    <xf numFmtId="0" fontId="0" fillId="0" borderId="35" xfId="0" applyBorder="1"/>
    <xf numFmtId="0" fontId="0" fillId="0" borderId="36" xfId="0" applyBorder="1"/>
    <xf numFmtId="3" fontId="15" fillId="0" borderId="36" xfId="0" applyNumberFormat="1" applyFont="1" applyBorder="1"/>
    <xf numFmtId="0" fontId="26" fillId="0" borderId="34" xfId="0" applyFont="1" applyFill="1" applyBorder="1"/>
    <xf numFmtId="0" fontId="15" fillId="0" borderId="9" xfId="0" applyFont="1" applyBorder="1" applyAlignment="1">
      <alignment wrapText="1"/>
    </xf>
    <xf numFmtId="0" fontId="17" fillId="0" borderId="9" xfId="0" applyFont="1" applyBorder="1" applyAlignment="1">
      <alignment wrapText="1"/>
    </xf>
    <xf numFmtId="0" fontId="13" fillId="0" borderId="28" xfId="0" applyFont="1" applyFill="1" applyBorder="1" applyAlignment="1">
      <alignment horizontal="center" vertical="center" wrapText="1"/>
    </xf>
    <xf numFmtId="0" fontId="15" fillId="0" borderId="37" xfId="0" applyFont="1" applyBorder="1" applyAlignment="1">
      <alignment horizontal="left"/>
    </xf>
    <xf numFmtId="0" fontId="13" fillId="0" borderId="17" xfId="0" applyFont="1" applyFill="1" applyBorder="1" applyAlignment="1">
      <alignment horizontal="left" vertical="center" wrapText="1"/>
    </xf>
    <xf numFmtId="3" fontId="5" fillId="0" borderId="17" xfId="0" applyNumberFormat="1" applyFont="1" applyFill="1" applyBorder="1" applyAlignment="1">
      <alignment horizontal="right" vertical="center" wrapText="1"/>
    </xf>
    <xf numFmtId="0" fontId="15" fillId="0" borderId="9" xfId="0" applyFont="1" applyFill="1" applyBorder="1" applyAlignment="1">
      <alignment wrapText="1"/>
    </xf>
    <xf numFmtId="0" fontId="5" fillId="0" borderId="9" xfId="1" applyFont="1" applyBorder="1" applyAlignment="1">
      <alignment vertical="top" wrapText="1" shrinkToFit="1"/>
    </xf>
    <xf numFmtId="0" fontId="32" fillId="0" borderId="9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3" fontId="35" fillId="0" borderId="9" xfId="0" applyNumberFormat="1" applyFont="1" applyFill="1" applyBorder="1"/>
    <xf numFmtId="3" fontId="12" fillId="8" borderId="13" xfId="0" applyNumberFormat="1" applyFont="1" applyFill="1" applyBorder="1" applyAlignment="1">
      <alignment horizontal="right" vertical="center" wrapText="1"/>
    </xf>
    <xf numFmtId="0" fontId="32" fillId="0" borderId="9" xfId="0" applyFont="1" applyFill="1" applyBorder="1" applyAlignment="1">
      <alignment horizontal="left" vertical="center"/>
    </xf>
    <xf numFmtId="3" fontId="6" fillId="0" borderId="17" xfId="0" applyNumberFormat="1" applyFont="1" applyFill="1" applyBorder="1" applyAlignment="1">
      <alignment horizontal="right" vertical="center" wrapText="1"/>
    </xf>
    <xf numFmtId="3" fontId="12" fillId="5" borderId="23" xfId="0" applyNumberFormat="1" applyFont="1" applyFill="1" applyBorder="1" applyAlignment="1">
      <alignment horizontal="right" vertical="center" wrapText="1"/>
    </xf>
    <xf numFmtId="3" fontId="12" fillId="8" borderId="20" xfId="0" applyNumberFormat="1" applyFont="1" applyFill="1" applyBorder="1" applyAlignment="1">
      <alignment horizontal="right" vertical="center" wrapText="1"/>
    </xf>
    <xf numFmtId="0" fontId="4" fillId="7" borderId="15" xfId="0" applyFont="1" applyFill="1" applyBorder="1" applyAlignment="1">
      <alignment horizontal="left" vertical="center" wrapText="1"/>
    </xf>
    <xf numFmtId="0" fontId="4" fillId="7" borderId="16" xfId="0" applyFont="1" applyFill="1" applyBorder="1" applyAlignment="1">
      <alignment horizontal="left" vertical="center" wrapText="1"/>
    </xf>
    <xf numFmtId="3" fontId="4" fillId="7" borderId="16" xfId="0" applyNumberFormat="1" applyFont="1" applyFill="1" applyBorder="1" applyAlignment="1">
      <alignment horizontal="right" vertical="center" wrapText="1"/>
    </xf>
    <xf numFmtId="0" fontId="37" fillId="0" borderId="8" xfId="0" applyFont="1" applyBorder="1"/>
    <xf numFmtId="0" fontId="37" fillId="0" borderId="9" xfId="0" applyFont="1" applyBorder="1"/>
    <xf numFmtId="3" fontId="4" fillId="3" borderId="23" xfId="0" applyNumberFormat="1" applyFont="1" applyFill="1" applyBorder="1" applyAlignment="1">
      <alignment horizontal="right" vertical="center" wrapText="1"/>
    </xf>
    <xf numFmtId="0" fontId="28" fillId="0" borderId="22" xfId="0" applyFont="1" applyFill="1" applyBorder="1" applyAlignment="1">
      <alignment vertical="center"/>
    </xf>
    <xf numFmtId="0" fontId="28" fillId="0" borderId="12" xfId="0" applyFont="1" applyFill="1" applyBorder="1" applyAlignment="1">
      <alignment vertical="center"/>
    </xf>
    <xf numFmtId="3" fontId="4" fillId="3" borderId="17" xfId="0" applyNumberFormat="1" applyFont="1" applyFill="1" applyBorder="1" applyAlignment="1">
      <alignment horizontal="right" vertical="center" wrapText="1"/>
    </xf>
    <xf numFmtId="3" fontId="28" fillId="0" borderId="12" xfId="0" applyNumberFormat="1" applyFont="1" applyFill="1" applyBorder="1" applyAlignment="1">
      <alignment vertical="center"/>
    </xf>
    <xf numFmtId="0" fontId="37" fillId="0" borderId="0" xfId="0" applyFont="1" applyBorder="1" applyAlignment="1"/>
    <xf numFmtId="3" fontId="4" fillId="3" borderId="13" xfId="0" applyNumberFormat="1" applyFont="1" applyFill="1" applyBorder="1" applyAlignment="1">
      <alignment horizontal="right" vertical="center" wrapText="1"/>
    </xf>
    <xf numFmtId="0" fontId="37" fillId="0" borderId="0" xfId="0" applyFont="1" applyBorder="1" applyAlignment="1">
      <alignment vertical="center"/>
    </xf>
    <xf numFmtId="3" fontId="28" fillId="0" borderId="22" xfId="0" applyNumberFormat="1" applyFont="1" applyFill="1" applyBorder="1" applyAlignment="1">
      <alignment vertical="center"/>
    </xf>
    <xf numFmtId="0" fontId="38" fillId="0" borderId="0" xfId="0" applyFont="1"/>
    <xf numFmtId="0" fontId="0" fillId="0" borderId="9" xfId="0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37" fillId="0" borderId="0" xfId="0" applyFont="1" applyBorder="1" applyAlignment="1">
      <alignment vertical="center"/>
    </xf>
    <xf numFmtId="4" fontId="0" fillId="0" borderId="0" xfId="0" applyNumberFormat="1"/>
    <xf numFmtId="0" fontId="3" fillId="7" borderId="4" xfId="0" applyFont="1" applyFill="1" applyBorder="1" applyAlignment="1">
      <alignment horizontal="left" vertical="center" shrinkToFit="1"/>
    </xf>
    <xf numFmtId="0" fontId="15" fillId="0" borderId="1" xfId="0" applyFont="1" applyBorder="1" applyAlignment="1">
      <alignment horizontal="left" vertical="center" shrinkToFit="1"/>
    </xf>
    <xf numFmtId="0" fontId="15" fillId="0" borderId="1" xfId="0" applyFont="1" applyBorder="1" applyAlignment="1">
      <alignment vertical="center" shrinkToFit="1"/>
    </xf>
    <xf numFmtId="0" fontId="4" fillId="0" borderId="0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 wrapText="1"/>
    </xf>
    <xf numFmtId="3" fontId="15" fillId="7" borderId="19" xfId="0" applyNumberFormat="1" applyFont="1" applyFill="1" applyBorder="1" applyAlignment="1">
      <alignment vertical="center" wrapText="1"/>
    </xf>
    <xf numFmtId="3" fontId="12" fillId="3" borderId="9" xfId="0" applyNumberFormat="1" applyFont="1" applyFill="1" applyBorder="1" applyAlignment="1">
      <alignment horizontal="right" vertical="center" wrapText="1"/>
    </xf>
    <xf numFmtId="3" fontId="5" fillId="0" borderId="14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37" fillId="0" borderId="0" xfId="0" applyFont="1" applyBorder="1" applyAlignment="1">
      <alignment vertical="center"/>
    </xf>
    <xf numFmtId="3" fontId="13" fillId="0" borderId="9" xfId="0" applyNumberFormat="1" applyFont="1" applyFill="1" applyBorder="1"/>
    <xf numFmtId="3" fontId="19" fillId="5" borderId="21" xfId="0" applyNumberFormat="1" applyFont="1" applyFill="1" applyBorder="1" applyAlignment="1">
      <alignment horizontal="right" vertical="center" wrapText="1"/>
    </xf>
    <xf numFmtId="3" fontId="17" fillId="0" borderId="17" xfId="0" applyNumberFormat="1" applyFont="1" applyFill="1" applyBorder="1" applyAlignment="1">
      <alignment horizontal="right" vertical="center" wrapText="1"/>
    </xf>
    <xf numFmtId="3" fontId="19" fillId="5" borderId="13" xfId="0" applyNumberFormat="1" applyFont="1" applyFill="1" applyBorder="1" applyAlignment="1">
      <alignment horizontal="right" vertical="center" wrapText="1"/>
    </xf>
    <xf numFmtId="3" fontId="19" fillId="8" borderId="20" xfId="0" applyNumberFormat="1" applyFont="1" applyFill="1" applyBorder="1" applyAlignment="1">
      <alignment horizontal="right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39" fillId="0" borderId="1" xfId="0" applyFont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3" fontId="4" fillId="3" borderId="14" xfId="0" applyNumberFormat="1" applyFont="1" applyFill="1" applyBorder="1" applyAlignment="1">
      <alignment horizontal="right" vertical="center" wrapText="1"/>
    </xf>
    <xf numFmtId="3" fontId="29" fillId="0" borderId="13" xfId="0" applyNumberFormat="1" applyFont="1" applyFill="1" applyBorder="1" applyAlignment="1">
      <alignment horizontal="right" vertical="center" wrapText="1"/>
    </xf>
    <xf numFmtId="0" fontId="39" fillId="0" borderId="0" xfId="0" applyFont="1" applyBorder="1" applyAlignment="1"/>
    <xf numFmtId="3" fontId="4" fillId="4" borderId="13" xfId="0" applyNumberFormat="1" applyFont="1" applyFill="1" applyBorder="1" applyAlignment="1">
      <alignment horizontal="right" vertical="center" wrapText="1"/>
    </xf>
    <xf numFmtId="3" fontId="19" fillId="5" borderId="17" xfId="0" applyNumberFormat="1" applyFont="1" applyFill="1" applyBorder="1" applyAlignment="1">
      <alignment horizontal="right" vertical="center" wrapText="1"/>
    </xf>
    <xf numFmtId="3" fontId="4" fillId="8" borderId="38" xfId="0" applyNumberFormat="1" applyFont="1" applyFill="1" applyBorder="1" applyAlignment="1">
      <alignment horizontal="right" vertical="center" wrapText="1"/>
    </xf>
    <xf numFmtId="0" fontId="39" fillId="3" borderId="7" xfId="0" applyFont="1" applyFill="1" applyBorder="1"/>
    <xf numFmtId="0" fontId="39" fillId="0" borderId="22" xfId="0" applyFont="1" applyBorder="1"/>
    <xf numFmtId="0" fontId="28" fillId="7" borderId="12" xfId="0" applyFont="1" applyFill="1" applyBorder="1" applyAlignment="1">
      <alignment horizontal="left" vertical="center"/>
    </xf>
    <xf numFmtId="0" fontId="28" fillId="7" borderId="22" xfId="0" applyFont="1" applyFill="1" applyBorder="1" applyAlignment="1">
      <alignment horizontal="left" vertical="center"/>
    </xf>
    <xf numFmtId="3" fontId="4" fillId="3" borderId="9" xfId="0" applyNumberFormat="1" applyFont="1" applyFill="1" applyBorder="1" applyAlignment="1">
      <alignment horizontal="right" vertical="center" wrapText="1"/>
    </xf>
    <xf numFmtId="0" fontId="39" fillId="0" borderId="0" xfId="0" applyFont="1" applyBorder="1"/>
    <xf numFmtId="3" fontId="4" fillId="4" borderId="9" xfId="0" applyNumberFormat="1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vertical="center"/>
    </xf>
    <xf numFmtId="0" fontId="39" fillId="0" borderId="0" xfId="0" applyFont="1"/>
    <xf numFmtId="0" fontId="32" fillId="0" borderId="9" xfId="0" applyFont="1" applyBorder="1" applyAlignment="1">
      <alignment horizontal="center" wrapText="1"/>
    </xf>
    <xf numFmtId="0" fontId="20" fillId="7" borderId="4" xfId="0" applyFont="1" applyFill="1" applyBorder="1" applyAlignment="1">
      <alignment horizontal="left" vertical="center" wrapText="1"/>
    </xf>
    <xf numFmtId="0" fontId="31" fillId="7" borderId="1" xfId="0" applyFont="1" applyFill="1" applyBorder="1" applyAlignment="1">
      <alignment horizontal="left" vertical="center" wrapText="1"/>
    </xf>
    <xf numFmtId="3" fontId="20" fillId="7" borderId="1" xfId="0" applyNumberFormat="1" applyFont="1" applyFill="1" applyBorder="1" applyAlignment="1">
      <alignment horizontal="right" vertical="center" wrapText="1"/>
    </xf>
    <xf numFmtId="3" fontId="19" fillId="7" borderId="48" xfId="0" applyNumberFormat="1" applyFont="1" applyFill="1" applyBorder="1" applyAlignment="1">
      <alignment horizontal="right" vertical="center" wrapText="1"/>
    </xf>
    <xf numFmtId="3" fontId="41" fillId="0" borderId="9" xfId="0" applyNumberFormat="1" applyFont="1" applyFill="1" applyBorder="1" applyAlignment="1">
      <alignment horizontal="right" vertical="center" wrapText="1"/>
    </xf>
    <xf numFmtId="3" fontId="24" fillId="0" borderId="9" xfId="0" applyNumberFormat="1" applyFont="1" applyFill="1" applyBorder="1" applyAlignment="1">
      <alignment horizontal="right" vertical="center" wrapText="1"/>
    </xf>
    <xf numFmtId="3" fontId="20" fillId="0" borderId="14" xfId="0" applyNumberFormat="1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 wrapText="1"/>
    </xf>
    <xf numFmtId="0" fontId="41" fillId="0" borderId="34" xfId="0" applyFont="1" applyFill="1" applyBorder="1" applyAlignment="1">
      <alignment vertical="center"/>
    </xf>
    <xf numFmtId="0" fontId="41" fillId="0" borderId="36" xfId="0" applyFont="1" applyFill="1" applyBorder="1" applyAlignment="1">
      <alignment vertical="center"/>
    </xf>
    <xf numFmtId="3" fontId="12" fillId="8" borderId="4" xfId="0" applyNumberFormat="1" applyFont="1" applyFill="1" applyBorder="1" applyAlignment="1">
      <alignment vertical="center" wrapText="1"/>
    </xf>
    <xf numFmtId="0" fontId="12" fillId="3" borderId="27" xfId="0" applyFont="1" applyFill="1" applyBorder="1" applyAlignment="1">
      <alignment horizontal="left" vertical="center" wrapText="1"/>
    </xf>
    <xf numFmtId="0" fontId="12" fillId="3" borderId="37" xfId="0" applyFont="1" applyFill="1" applyBorder="1" applyAlignment="1">
      <alignment horizontal="left" vertical="center" wrapText="1"/>
    </xf>
    <xf numFmtId="0" fontId="0" fillId="0" borderId="37" xfId="0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12" fillId="4" borderId="4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2" fillId="3" borderId="42" xfId="0" applyFont="1" applyFill="1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3" fillId="7" borderId="41" xfId="0" applyFont="1" applyFill="1" applyBorder="1" applyAlignment="1">
      <alignment horizontal="left" vertical="center" shrinkToFit="1"/>
    </xf>
    <xf numFmtId="0" fontId="15" fillId="0" borderId="13" xfId="0" applyFont="1" applyBorder="1" applyAlignment="1">
      <alignment horizontal="left" vertical="center" shrinkToFit="1"/>
    </xf>
    <xf numFmtId="0" fontId="15" fillId="0" borderId="13" xfId="0" applyFont="1" applyBorder="1" applyAlignment="1">
      <alignment vertical="center" shrinkToFi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40" xfId="0" applyBorder="1" applyAlignment="1">
      <alignment vertical="center" wrapText="1"/>
    </xf>
    <xf numFmtId="0" fontId="12" fillId="5" borderId="27" xfId="0" applyFont="1" applyFill="1" applyBorder="1" applyAlignment="1">
      <alignment horizontal="left" vertical="center" wrapText="1"/>
    </xf>
    <xf numFmtId="0" fontId="31" fillId="0" borderId="37" xfId="0" applyFont="1" applyBorder="1" applyAlignment="1">
      <alignment horizontal="left" vertical="center" wrapText="1"/>
    </xf>
    <xf numFmtId="0" fontId="31" fillId="0" borderId="40" xfId="0" applyFont="1" applyBorder="1" applyAlignment="1">
      <alignment vertical="center" wrapText="1"/>
    </xf>
    <xf numFmtId="0" fontId="12" fillId="7" borderId="11" xfId="0" applyFont="1" applyFill="1" applyBorder="1" applyAlignment="1">
      <alignment horizontal="left" vertical="center" wrapText="1"/>
    </xf>
    <xf numFmtId="0" fontId="31" fillId="0" borderId="12" xfId="0" applyFont="1" applyBorder="1" applyAlignment="1">
      <alignment vertical="center" wrapText="1"/>
    </xf>
    <xf numFmtId="0" fontId="12" fillId="6" borderId="4" xfId="0" applyFon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6" borderId="38" xfId="0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5" borderId="27" xfId="0" applyFont="1" applyFill="1" applyBorder="1" applyAlignment="1">
      <alignment horizontal="left" vertical="center" wrapText="1"/>
    </xf>
    <xf numFmtId="0" fontId="4" fillId="5" borderId="37" xfId="0" applyFont="1" applyFill="1" applyBorder="1" applyAlignment="1">
      <alignment horizontal="left" vertical="center" wrapText="1"/>
    </xf>
    <xf numFmtId="0" fontId="37" fillId="0" borderId="40" xfId="0" applyFont="1" applyBorder="1" applyAlignment="1">
      <alignment vertical="center" wrapText="1"/>
    </xf>
    <xf numFmtId="0" fontId="28" fillId="0" borderId="11" xfId="0" applyFont="1" applyFill="1" applyBorder="1" applyAlignment="1">
      <alignment horizontal="left" vertical="center" wrapText="1"/>
    </xf>
    <xf numFmtId="0" fontId="28" fillId="0" borderId="12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0" xfId="0" applyFont="1" applyFill="1" applyBorder="1" applyAlignment="1">
      <alignment horizontal="left" vertical="center" wrapText="1"/>
    </xf>
    <xf numFmtId="0" fontId="37" fillId="0" borderId="44" xfId="0" applyFont="1" applyBorder="1" applyAlignment="1">
      <alignment vertical="center" wrapText="1"/>
    </xf>
    <xf numFmtId="0" fontId="37" fillId="0" borderId="3" xfId="0" applyFont="1" applyBorder="1" applyAlignment="1"/>
    <xf numFmtId="0" fontId="37" fillId="0" borderId="0" xfId="0" applyFont="1" applyBorder="1" applyAlignment="1"/>
    <xf numFmtId="0" fontId="28" fillId="0" borderId="18" xfId="0" applyFont="1" applyFill="1" applyBorder="1" applyAlignment="1">
      <alignment horizontal="left" vertical="center" wrapText="1"/>
    </xf>
    <xf numFmtId="0" fontId="28" fillId="0" borderId="19" xfId="0" applyFont="1" applyFill="1" applyBorder="1" applyAlignment="1">
      <alignment horizontal="left" vertical="center" wrapText="1"/>
    </xf>
    <xf numFmtId="0" fontId="28" fillId="0" borderId="43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0" fontId="37" fillId="0" borderId="1" xfId="0" applyFont="1" applyBorder="1" applyAlignment="1">
      <alignment vertical="center"/>
    </xf>
    <xf numFmtId="0" fontId="37" fillId="0" borderId="38" xfId="0" applyFont="1" applyBorder="1" applyAlignment="1">
      <alignment vertical="center"/>
    </xf>
    <xf numFmtId="0" fontId="33" fillId="0" borderId="34" xfId="0" applyFont="1" applyBorder="1" applyAlignment="1">
      <alignment horizontal="left" vertical="center" wrapText="1"/>
    </xf>
    <xf numFmtId="0" fontId="33" fillId="0" borderId="35" xfId="0" applyFont="1" applyBorder="1" applyAlignment="1">
      <alignment horizontal="left" vertical="center" wrapText="1"/>
    </xf>
    <xf numFmtId="0" fontId="34" fillId="0" borderId="35" xfId="0" applyFont="1" applyBorder="1" applyAlignment="1">
      <alignment vertical="center" wrapText="1"/>
    </xf>
    <xf numFmtId="0" fontId="34" fillId="0" borderId="35" xfId="0" applyFont="1" applyBorder="1" applyAlignment="1"/>
    <xf numFmtId="0" fontId="41" fillId="5" borderId="27" xfId="0" applyFont="1" applyFill="1" applyBorder="1" applyAlignment="1">
      <alignment horizontal="left" vertical="center"/>
    </xf>
    <xf numFmtId="0" fontId="31" fillId="0" borderId="37" xfId="0" applyFont="1" applyBorder="1" applyAlignment="1">
      <alignment horizontal="left" vertical="center"/>
    </xf>
    <xf numFmtId="0" fontId="31" fillId="0" borderId="40" xfId="0" applyFont="1" applyBorder="1" applyAlignment="1">
      <alignment vertical="center"/>
    </xf>
    <xf numFmtId="0" fontId="28" fillId="0" borderId="39" xfId="0" applyFont="1" applyFill="1" applyBorder="1" applyAlignment="1">
      <alignment horizontal="left" vertical="center" wrapText="1"/>
    </xf>
    <xf numFmtId="0" fontId="37" fillId="0" borderId="29" xfId="0" applyFont="1" applyBorder="1" applyAlignment="1"/>
    <xf numFmtId="0" fontId="37" fillId="0" borderId="22" xfId="0" applyFont="1" applyBorder="1" applyAlignment="1"/>
    <xf numFmtId="0" fontId="4" fillId="0" borderId="3" xfId="0" applyFont="1" applyFill="1" applyBorder="1" applyAlignment="1">
      <alignment vertical="center"/>
    </xf>
    <xf numFmtId="0" fontId="37" fillId="0" borderId="0" xfId="0" applyFont="1" applyBorder="1" applyAlignment="1">
      <alignment vertical="center"/>
    </xf>
    <xf numFmtId="0" fontId="4" fillId="5" borderId="27" xfId="0" applyFont="1" applyFill="1" applyBorder="1" applyAlignment="1">
      <alignment vertical="center" wrapText="1"/>
    </xf>
    <xf numFmtId="0" fontId="4" fillId="5" borderId="37" xfId="0" applyFont="1" applyFill="1" applyBorder="1" applyAlignment="1">
      <alignment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0" fillId="0" borderId="12" xfId="0" applyBorder="1" applyAlignment="1"/>
    <xf numFmtId="0" fontId="21" fillId="0" borderId="11" xfId="0" applyFont="1" applyFill="1" applyBorder="1" applyAlignment="1">
      <alignment horizontal="left" vertical="center" wrapText="1"/>
    </xf>
    <xf numFmtId="0" fontId="10" fillId="0" borderId="34" xfId="0" applyFont="1" applyFill="1" applyBorder="1" applyAlignment="1">
      <alignment horizontal="left" vertical="center" wrapText="1"/>
    </xf>
    <xf numFmtId="0" fontId="0" fillId="0" borderId="35" xfId="0" applyBorder="1" applyAlignment="1"/>
    <xf numFmtId="0" fontId="12" fillId="8" borderId="4" xfId="0" applyFont="1" applyFill="1" applyBorder="1" applyAlignment="1">
      <alignment vertical="center" wrapText="1"/>
    </xf>
    <xf numFmtId="0" fontId="12" fillId="8" borderId="1" xfId="0" applyFont="1" applyFill="1" applyBorder="1" applyAlignment="1">
      <alignment vertical="center" wrapText="1"/>
    </xf>
    <xf numFmtId="0" fontId="31" fillId="0" borderId="38" xfId="0" applyFont="1" applyBorder="1" applyAlignment="1">
      <alignment vertical="center" wrapText="1"/>
    </xf>
    <xf numFmtId="0" fontId="12" fillId="8" borderId="29" xfId="0" applyFont="1" applyFill="1" applyBorder="1" applyAlignment="1">
      <alignment vertical="center" wrapText="1"/>
    </xf>
    <xf numFmtId="0" fontId="31" fillId="8" borderId="22" xfId="0" applyFont="1" applyFill="1" applyBorder="1" applyAlignment="1">
      <alignment vertical="center" wrapText="1"/>
    </xf>
    <xf numFmtId="0" fontId="20" fillId="5" borderId="27" xfId="0" applyFont="1" applyFill="1" applyBorder="1" applyAlignment="1">
      <alignment horizontal="left" vertical="center" wrapText="1"/>
    </xf>
    <xf numFmtId="0" fontId="20" fillId="5" borderId="37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vertical="center" wrapText="1"/>
    </xf>
    <xf numFmtId="0" fontId="33" fillId="0" borderId="31" xfId="0" applyFont="1" applyBorder="1" applyAlignment="1">
      <alignment horizontal="left" vertical="center" wrapText="1"/>
    </xf>
    <xf numFmtId="0" fontId="33" fillId="0" borderId="32" xfId="0" applyFont="1" applyBorder="1" applyAlignment="1">
      <alignment horizontal="left" vertical="center" wrapText="1"/>
    </xf>
    <xf numFmtId="0" fontId="34" fillId="0" borderId="32" xfId="0" applyFont="1" applyBorder="1" applyAlignment="1">
      <alignment horizontal="left" vertical="center" wrapText="1"/>
    </xf>
    <xf numFmtId="0" fontId="12" fillId="0" borderId="29" xfId="0" applyFont="1" applyFill="1" applyBorder="1" applyAlignment="1">
      <alignment vertical="center" wrapText="1"/>
    </xf>
    <xf numFmtId="0" fontId="36" fillId="0" borderId="22" xfId="0" applyFont="1" applyBorder="1" applyAlignment="1">
      <alignment vertical="center" wrapText="1"/>
    </xf>
    <xf numFmtId="0" fontId="6" fillId="0" borderId="9" xfId="0" applyFont="1" applyFill="1" applyBorder="1" applyAlignment="1">
      <alignment vertical="center"/>
    </xf>
    <xf numFmtId="0" fontId="31" fillId="0" borderId="9" xfId="0" applyFont="1" applyBorder="1" applyAlignment="1">
      <alignment vertical="center"/>
    </xf>
    <xf numFmtId="0" fontId="12" fillId="5" borderId="4" xfId="0" applyFont="1" applyFill="1" applyBorder="1" applyAlignment="1">
      <alignment vertical="center" wrapText="1"/>
    </xf>
    <xf numFmtId="0" fontId="31" fillId="5" borderId="1" xfId="0" applyFont="1" applyFill="1" applyBorder="1" applyAlignment="1">
      <alignment vertical="center" wrapText="1"/>
    </xf>
    <xf numFmtId="0" fontId="41" fillId="0" borderId="9" xfId="0" applyFont="1" applyFill="1" applyBorder="1" applyAlignment="1">
      <alignment vertical="center"/>
    </xf>
    <xf numFmtId="0" fontId="42" fillId="0" borderId="9" xfId="0" applyFont="1" applyBorder="1" applyAlignment="1">
      <alignment vertical="center"/>
    </xf>
    <xf numFmtId="0" fontId="28" fillId="3" borderId="11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39" xfId="0" applyBorder="1" applyAlignment="1">
      <alignment vertical="center"/>
    </xf>
    <xf numFmtId="0" fontId="21" fillId="0" borderId="4" xfId="0" applyFont="1" applyBorder="1" applyAlignment="1">
      <alignment vertical="center" wrapText="1"/>
    </xf>
    <xf numFmtId="0" fontId="26" fillId="0" borderId="1" xfId="0" applyFont="1" applyBorder="1" applyAlignment="1">
      <alignment wrapText="1"/>
    </xf>
    <xf numFmtId="0" fontId="0" fillId="0" borderId="1" xfId="0" applyBorder="1" applyAlignment="1"/>
    <xf numFmtId="0" fontId="17" fillId="0" borderId="34" xfId="0" applyFont="1" applyFill="1" applyBorder="1" applyAlignment="1">
      <alignment vertical="center"/>
    </xf>
    <xf numFmtId="0" fontId="0" fillId="0" borderId="36" xfId="0" applyBorder="1" applyAlignment="1">
      <alignment vertical="center"/>
    </xf>
    <xf numFmtId="0" fontId="22" fillId="5" borderId="34" xfId="0" applyFont="1" applyFill="1" applyBorder="1" applyAlignment="1">
      <alignment horizontal="left" vertical="center" wrapText="1"/>
    </xf>
    <xf numFmtId="0" fontId="23" fillId="5" borderId="35" xfId="0" applyFont="1" applyFill="1" applyBorder="1" applyAlignment="1">
      <alignment horizontal="left"/>
    </xf>
    <xf numFmtId="0" fontId="23" fillId="5" borderId="36" xfId="0" applyFont="1" applyFill="1" applyBorder="1" applyAlignment="1">
      <alignment horizontal="left"/>
    </xf>
    <xf numFmtId="0" fontId="4" fillId="0" borderId="4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8" borderId="1" xfId="0" applyFill="1" applyBorder="1" applyAlignment="1">
      <alignment vertical="center" wrapText="1"/>
    </xf>
    <xf numFmtId="0" fontId="0" fillId="8" borderId="38" xfId="0" applyFill="1" applyBorder="1" applyAlignment="1">
      <alignment vertical="center" wrapText="1"/>
    </xf>
    <xf numFmtId="0" fontId="17" fillId="0" borderId="36" xfId="0" applyFont="1" applyFill="1" applyBorder="1" applyAlignment="1">
      <alignment vertical="center"/>
    </xf>
    <xf numFmtId="0" fontId="5" fillId="0" borderId="31" xfId="0" applyFont="1" applyFill="1" applyBorder="1" applyAlignment="1">
      <alignment horizontal="left" vertical="center" wrapText="1"/>
    </xf>
    <xf numFmtId="0" fontId="18" fillId="0" borderId="32" xfId="0" applyFont="1" applyFill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17" fillId="0" borderId="15" xfId="0" applyFont="1" applyFill="1" applyBorder="1" applyAlignment="1">
      <alignment vertical="center"/>
    </xf>
    <xf numFmtId="0" fontId="17" fillId="0" borderId="16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9" xfId="0" applyFont="1" applyFill="1" applyBorder="1" applyAlignment="1">
      <alignment vertical="center"/>
    </xf>
    <xf numFmtId="0" fontId="25" fillId="0" borderId="4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10" fillId="0" borderId="8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28" fillId="9" borderId="4" xfId="0" applyFont="1" applyFill="1" applyBorder="1" applyAlignment="1">
      <alignment vertical="center"/>
    </xf>
    <xf numFmtId="0" fontId="24" fillId="10" borderId="27" xfId="0" applyFont="1" applyFill="1" applyBorder="1" applyAlignment="1">
      <alignment vertical="center"/>
    </xf>
    <xf numFmtId="0" fontId="4" fillId="10" borderId="37" xfId="0" applyFont="1" applyFill="1" applyBorder="1" applyAlignment="1">
      <alignment vertical="center"/>
    </xf>
    <xf numFmtId="0" fontId="0" fillId="0" borderId="40" xfId="0" applyBorder="1" applyAlignment="1">
      <alignment vertical="center"/>
    </xf>
    <xf numFmtId="0" fontId="10" fillId="7" borderId="11" xfId="0" applyFont="1" applyFill="1" applyBorder="1" applyAlignment="1">
      <alignment horizontal="left" vertical="center"/>
    </xf>
    <xf numFmtId="0" fontId="10" fillId="7" borderId="12" xfId="0" applyFont="1" applyFill="1" applyBorder="1" applyAlignment="1">
      <alignment horizontal="left" vertical="center"/>
    </xf>
    <xf numFmtId="0" fontId="19" fillId="3" borderId="4" xfId="0" applyFont="1" applyFill="1" applyBorder="1" applyAlignment="1">
      <alignment horizontal="left" vertical="center" wrapText="1"/>
    </xf>
    <xf numFmtId="0" fontId="19" fillId="3" borderId="38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4" fillId="11" borderId="29" xfId="0" applyFont="1" applyFill="1" applyBorder="1" applyAlignment="1">
      <alignment vertical="center"/>
    </xf>
    <xf numFmtId="0" fontId="4" fillId="11" borderId="22" xfId="0" applyFont="1" applyFill="1" applyBorder="1" applyAlignment="1">
      <alignment vertical="center"/>
    </xf>
    <xf numFmtId="0" fontId="0" fillId="0" borderId="46" xfId="0" applyBorder="1" applyAlignment="1">
      <alignment vertical="center"/>
    </xf>
    <xf numFmtId="0" fontId="17" fillId="0" borderId="27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0" fillId="0" borderId="3" xfId="0" applyBorder="1" applyAlignment="1"/>
    <xf numFmtId="0" fontId="0" fillId="0" borderId="0" xfId="0" applyBorder="1" applyAlignment="1"/>
    <xf numFmtId="0" fontId="12" fillId="4" borderId="41" xfId="0" applyFont="1" applyFill="1" applyBorder="1" applyAlignment="1">
      <alignment horizontal="left" vertical="center" wrapText="1"/>
    </xf>
    <xf numFmtId="0" fontId="12" fillId="4" borderId="13" xfId="0" applyFont="1" applyFill="1" applyBorder="1" applyAlignment="1">
      <alignment horizontal="left" vertical="center" wrapText="1"/>
    </xf>
    <xf numFmtId="0" fontId="25" fillId="0" borderId="45" xfId="0" applyFont="1" applyBorder="1" applyAlignment="1">
      <alignment horizontal="center"/>
    </xf>
    <xf numFmtId="0" fontId="25" fillId="0" borderId="30" xfId="0" applyFont="1" applyBorder="1" applyAlignment="1">
      <alignment horizontal="center"/>
    </xf>
    <xf numFmtId="0" fontId="17" fillId="7" borderId="29" xfId="0" applyFont="1" applyFill="1" applyBorder="1" applyAlignment="1">
      <alignment horizontal="left" vertical="center"/>
    </xf>
    <xf numFmtId="0" fontId="15" fillId="0" borderId="22" xfId="0" applyFont="1" applyBorder="1" applyAlignment="1">
      <alignment vertical="center"/>
    </xf>
    <xf numFmtId="0" fontId="12" fillId="3" borderId="9" xfId="0" applyFont="1" applyFill="1" applyBorder="1" applyAlignment="1">
      <alignment horizontal="left" vertical="center" wrapText="1"/>
    </xf>
    <xf numFmtId="0" fontId="0" fillId="0" borderId="9" xfId="0" applyBorder="1" applyAlignment="1">
      <alignment vertical="center" wrapText="1"/>
    </xf>
    <xf numFmtId="0" fontId="12" fillId="4" borderId="45" xfId="0" applyFont="1" applyFill="1" applyBorder="1" applyAlignment="1">
      <alignment horizontal="left" vertical="center" wrapText="1"/>
    </xf>
    <xf numFmtId="0" fontId="12" fillId="4" borderId="47" xfId="0" applyFont="1" applyFill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</cellXfs>
  <cellStyles count="2">
    <cellStyle name="Normální" xfId="0" builtinId="0"/>
    <cellStyle name="normální_NEPRIORIT_s_vzorci fina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5"/>
  <sheetViews>
    <sheetView tabSelected="1" topLeftCell="A109" workbookViewId="0">
      <selection activeCell="F124" sqref="F124"/>
    </sheetView>
  </sheetViews>
  <sheetFormatPr defaultRowHeight="15" x14ac:dyDescent="0.25"/>
  <cols>
    <col min="1" max="4" width="18.5703125" customWidth="1"/>
    <col min="5" max="5" width="19.42578125" style="199" customWidth="1"/>
    <col min="8" max="8" width="18.5703125" customWidth="1"/>
  </cols>
  <sheetData>
    <row r="1" spans="1:5" ht="26.25" customHeight="1" thickBot="1" x14ac:dyDescent="0.3">
      <c r="A1" s="228" t="s">
        <v>145</v>
      </c>
      <c r="B1" s="229"/>
      <c r="C1" s="229"/>
      <c r="D1" s="229"/>
      <c r="E1" s="229"/>
    </row>
    <row r="2" spans="1:5" ht="45" customHeight="1" thickBot="1" x14ac:dyDescent="0.3">
      <c r="A2" s="1" t="s">
        <v>0</v>
      </c>
      <c r="B2" s="1" t="s">
        <v>1</v>
      </c>
      <c r="C2" s="1" t="s">
        <v>139</v>
      </c>
      <c r="D2" s="1" t="s">
        <v>151</v>
      </c>
      <c r="E2" s="181" t="s">
        <v>152</v>
      </c>
    </row>
    <row r="3" spans="1:5" ht="12.75" customHeight="1" thickBot="1" x14ac:dyDescent="0.3">
      <c r="A3" s="2" t="s">
        <v>2</v>
      </c>
      <c r="B3" s="3"/>
      <c r="C3" s="4"/>
      <c r="D3" s="5"/>
      <c r="E3" s="182"/>
    </row>
    <row r="4" spans="1:5" ht="12.75" customHeight="1" thickBot="1" x14ac:dyDescent="0.3">
      <c r="A4" s="6" t="s">
        <v>3</v>
      </c>
      <c r="B4" s="4"/>
      <c r="C4" s="4"/>
      <c r="D4" s="4"/>
      <c r="E4" s="183"/>
    </row>
    <row r="5" spans="1:5" ht="12.75" customHeight="1" thickBot="1" x14ac:dyDescent="0.3">
      <c r="A5" s="7"/>
      <c r="B5" s="8"/>
      <c r="C5" s="9" t="s">
        <v>4</v>
      </c>
      <c r="D5" s="8"/>
      <c r="E5" s="184"/>
    </row>
    <row r="6" spans="1:5" ht="16.5" customHeight="1" x14ac:dyDescent="0.25">
      <c r="A6" s="10" t="s">
        <v>4</v>
      </c>
      <c r="B6" s="11" t="s">
        <v>6</v>
      </c>
      <c r="C6" s="11" t="s">
        <v>5</v>
      </c>
      <c r="D6" s="12">
        <v>10000</v>
      </c>
      <c r="E6" s="12">
        <f>10996207/1000</f>
        <v>10996.207</v>
      </c>
    </row>
    <row r="7" spans="1:5" ht="24.75" customHeight="1" x14ac:dyDescent="0.25">
      <c r="A7" s="13" t="s">
        <v>4</v>
      </c>
      <c r="B7" s="136" t="s">
        <v>141</v>
      </c>
      <c r="C7" s="14" t="s">
        <v>7</v>
      </c>
      <c r="D7" s="15">
        <v>6000</v>
      </c>
      <c r="E7" s="15">
        <f>4998287/1000</f>
        <v>4998.2870000000003</v>
      </c>
    </row>
    <row r="8" spans="1:5" ht="12.75" customHeight="1" thickBot="1" x14ac:dyDescent="0.3">
      <c r="A8" s="212" t="s">
        <v>8</v>
      </c>
      <c r="B8" s="213"/>
      <c r="C8" s="230"/>
      <c r="D8" s="152">
        <f>SUM(D6:D7)</f>
        <v>16000</v>
      </c>
      <c r="E8" s="152">
        <f>SUM(E6:E7)</f>
        <v>15994.494000000001</v>
      </c>
    </row>
    <row r="9" spans="1:5" x14ac:dyDescent="0.25">
      <c r="A9" s="16"/>
      <c r="B9" s="17"/>
      <c r="C9" s="18" t="s">
        <v>9</v>
      </c>
      <c r="D9" s="153"/>
      <c r="E9" s="154"/>
    </row>
    <row r="10" spans="1:5" ht="27" customHeight="1" x14ac:dyDescent="0.25">
      <c r="A10" s="13" t="s">
        <v>9</v>
      </c>
      <c r="B10" s="20" t="s">
        <v>11</v>
      </c>
      <c r="C10" s="19" t="s">
        <v>10</v>
      </c>
      <c r="D10" s="21">
        <v>19000</v>
      </c>
      <c r="E10" s="21">
        <f>5291557.91/1000</f>
        <v>5291.5579100000004</v>
      </c>
    </row>
    <row r="11" spans="1:5" ht="26.25" customHeight="1" x14ac:dyDescent="0.25">
      <c r="A11" s="13" t="s">
        <v>9</v>
      </c>
      <c r="B11" s="20" t="s">
        <v>12</v>
      </c>
      <c r="C11" s="19" t="s">
        <v>134</v>
      </c>
      <c r="D11" s="21">
        <v>16000</v>
      </c>
      <c r="E11" s="21">
        <f>13960212/1000</f>
        <v>13960.212</v>
      </c>
    </row>
    <row r="12" spans="1:5" ht="22.5" customHeight="1" x14ac:dyDescent="0.25">
      <c r="A12" s="13" t="s">
        <v>9</v>
      </c>
      <c r="B12" s="20" t="s">
        <v>133</v>
      </c>
      <c r="C12" s="19" t="s">
        <v>13</v>
      </c>
      <c r="D12" s="21">
        <v>24500</v>
      </c>
      <c r="E12" s="21">
        <f>16717084.49/1000</f>
        <v>16717.084490000001</v>
      </c>
    </row>
    <row r="13" spans="1:5" ht="21.75" customHeight="1" x14ac:dyDescent="0.25">
      <c r="A13" s="22" t="s">
        <v>9</v>
      </c>
      <c r="B13" s="24" t="s">
        <v>141</v>
      </c>
      <c r="C13" s="23" t="s">
        <v>7</v>
      </c>
      <c r="D13" s="25">
        <f>19000</f>
        <v>19000</v>
      </c>
      <c r="E13" s="25">
        <f>20161566.29/1000</f>
        <v>20161.566289999999</v>
      </c>
    </row>
    <row r="14" spans="1:5" ht="19.5" customHeight="1" x14ac:dyDescent="0.25">
      <c r="A14" s="22" t="s">
        <v>9</v>
      </c>
      <c r="B14" s="24" t="s">
        <v>141</v>
      </c>
      <c r="C14" s="23" t="s">
        <v>14</v>
      </c>
      <c r="D14" s="25">
        <v>3000</v>
      </c>
      <c r="E14" s="25">
        <f>1500000/1000</f>
        <v>1500</v>
      </c>
    </row>
    <row r="15" spans="1:5" ht="13.5" customHeight="1" thickBot="1" x14ac:dyDescent="0.3">
      <c r="A15" s="212" t="s">
        <v>15</v>
      </c>
      <c r="B15" s="213"/>
      <c r="C15" s="214"/>
      <c r="D15" s="155">
        <f>SUM(D10:D14)</f>
        <v>81500</v>
      </c>
      <c r="E15" s="155">
        <f>SUM(E10:E14)</f>
        <v>57630.420689999999</v>
      </c>
    </row>
    <row r="16" spans="1:5" x14ac:dyDescent="0.25">
      <c r="A16" s="16"/>
      <c r="B16" s="17"/>
      <c r="C16" s="18" t="s">
        <v>16</v>
      </c>
      <c r="D16" s="153"/>
      <c r="E16" s="156"/>
    </row>
    <row r="17" spans="1:5" x14ac:dyDescent="0.25">
      <c r="A17" s="26" t="s">
        <v>16</v>
      </c>
      <c r="B17" s="28" t="s">
        <v>6</v>
      </c>
      <c r="C17" s="27" t="s">
        <v>17</v>
      </c>
      <c r="D17" s="29">
        <v>14995</v>
      </c>
      <c r="E17" s="29">
        <f>16000000/1000</f>
        <v>16000</v>
      </c>
    </row>
    <row r="18" spans="1:5" x14ac:dyDescent="0.25">
      <c r="A18" s="26" t="s">
        <v>16</v>
      </c>
      <c r="B18" s="28" t="s">
        <v>6</v>
      </c>
      <c r="C18" s="27" t="s">
        <v>18</v>
      </c>
      <c r="D18" s="29">
        <v>9000</v>
      </c>
      <c r="E18" s="29">
        <f>1225995/1000</f>
        <v>1225.9949999999999</v>
      </c>
    </row>
    <row r="19" spans="1:5" ht="21" customHeight="1" x14ac:dyDescent="0.25">
      <c r="A19" s="26" t="s">
        <v>16</v>
      </c>
      <c r="B19" s="24" t="s">
        <v>11</v>
      </c>
      <c r="C19" s="30" t="s">
        <v>10</v>
      </c>
      <c r="D19" s="21">
        <v>20000</v>
      </c>
      <c r="E19" s="21">
        <f>24507497/1000</f>
        <v>24507.496999999999</v>
      </c>
    </row>
    <row r="20" spans="1:5" ht="21.75" customHeight="1" x14ac:dyDescent="0.25">
      <c r="A20" s="22" t="s">
        <v>16</v>
      </c>
      <c r="B20" s="24" t="s">
        <v>141</v>
      </c>
      <c r="C20" s="30" t="s">
        <v>14</v>
      </c>
      <c r="D20" s="21">
        <v>4000</v>
      </c>
      <c r="E20" s="21">
        <f>3500000/1000</f>
        <v>3500</v>
      </c>
    </row>
    <row r="21" spans="1:5" ht="20.25" customHeight="1" x14ac:dyDescent="0.25">
      <c r="A21" s="22" t="s">
        <v>16</v>
      </c>
      <c r="B21" s="24" t="s">
        <v>142</v>
      </c>
      <c r="C21" s="31" t="s">
        <v>7</v>
      </c>
      <c r="D21" s="25">
        <v>19000</v>
      </c>
      <c r="E21" s="25">
        <f>25346563/1000</f>
        <v>25346.562999999998</v>
      </c>
    </row>
    <row r="22" spans="1:5" ht="14.25" customHeight="1" thickBot="1" x14ac:dyDescent="0.3">
      <c r="A22" s="212" t="s">
        <v>19</v>
      </c>
      <c r="B22" s="213"/>
      <c r="C22" s="214"/>
      <c r="D22" s="155">
        <f>SUM(D17:D21)</f>
        <v>66995</v>
      </c>
      <c r="E22" s="155">
        <f>SUM(E17:E21)</f>
        <v>70580.054999999993</v>
      </c>
    </row>
    <row r="23" spans="1:5" ht="13.5" customHeight="1" x14ac:dyDescent="0.25">
      <c r="A23" s="16"/>
      <c r="B23" s="17"/>
      <c r="C23" s="18" t="s">
        <v>20</v>
      </c>
      <c r="D23" s="153"/>
      <c r="E23" s="156"/>
    </row>
    <row r="24" spans="1:5" ht="23.25" customHeight="1" x14ac:dyDescent="0.25">
      <c r="A24" s="22" t="s">
        <v>20</v>
      </c>
      <c r="B24" s="24" t="s">
        <v>11</v>
      </c>
      <c r="C24" s="31" t="s">
        <v>10</v>
      </c>
      <c r="D24" s="25">
        <v>36000</v>
      </c>
      <c r="E24" s="25">
        <f>23062585.57/1000</f>
        <v>23062.585569999999</v>
      </c>
    </row>
    <row r="25" spans="1:5" ht="23.25" customHeight="1" x14ac:dyDescent="0.25">
      <c r="A25" s="13" t="s">
        <v>20</v>
      </c>
      <c r="B25" s="20" t="s">
        <v>12</v>
      </c>
      <c r="C25" s="19" t="s">
        <v>134</v>
      </c>
      <c r="D25" s="21">
        <v>13000</v>
      </c>
      <c r="E25" s="21">
        <f>14323315.93/1000</f>
        <v>14323.315929999999</v>
      </c>
    </row>
    <row r="26" spans="1:5" ht="21.75" customHeight="1" x14ac:dyDescent="0.25">
      <c r="A26" s="22" t="s">
        <v>21</v>
      </c>
      <c r="B26" s="33" t="s">
        <v>6</v>
      </c>
      <c r="C26" s="19" t="s">
        <v>22</v>
      </c>
      <c r="D26" s="34">
        <v>23500</v>
      </c>
      <c r="E26" s="34">
        <f>19027766.84/1000</f>
        <v>19027.76684</v>
      </c>
    </row>
    <row r="27" spans="1:5" ht="21.75" customHeight="1" x14ac:dyDescent="0.25">
      <c r="A27" s="26" t="s">
        <v>21</v>
      </c>
      <c r="B27" s="24" t="s">
        <v>141</v>
      </c>
      <c r="C27" s="31" t="s">
        <v>7</v>
      </c>
      <c r="D27" s="25">
        <v>19000</v>
      </c>
      <c r="E27" s="25">
        <f>23005224.09/1000</f>
        <v>23005.22409</v>
      </c>
    </row>
    <row r="28" spans="1:5" ht="14.25" customHeight="1" thickBot="1" x14ac:dyDescent="0.3">
      <c r="A28" s="212" t="s">
        <v>23</v>
      </c>
      <c r="B28" s="213"/>
      <c r="C28" s="214"/>
      <c r="D28" s="155">
        <f>SUM(D24:D27)</f>
        <v>91500</v>
      </c>
      <c r="E28" s="155">
        <f>SUM(E24:E27)</f>
        <v>79418.892430000007</v>
      </c>
    </row>
    <row r="29" spans="1:5" ht="12.75" customHeight="1" x14ac:dyDescent="0.25">
      <c r="A29" s="16"/>
      <c r="B29" s="17"/>
      <c r="C29" s="18" t="s">
        <v>24</v>
      </c>
      <c r="D29" s="153"/>
      <c r="E29" s="156"/>
    </row>
    <row r="30" spans="1:5" ht="23.25" customHeight="1" x14ac:dyDescent="0.25">
      <c r="A30" s="22" t="s">
        <v>24</v>
      </c>
      <c r="B30" s="24" t="s">
        <v>141</v>
      </c>
      <c r="C30" s="31" t="s">
        <v>25</v>
      </c>
      <c r="D30" s="25">
        <v>8000</v>
      </c>
      <c r="E30" s="25">
        <f>8014300/1000</f>
        <v>8014.3</v>
      </c>
    </row>
    <row r="31" spans="1:5" ht="23.25" customHeight="1" x14ac:dyDescent="0.25">
      <c r="A31" s="22" t="s">
        <v>24</v>
      </c>
      <c r="B31" s="24" t="s">
        <v>141</v>
      </c>
      <c r="C31" s="31" t="s">
        <v>14</v>
      </c>
      <c r="D31" s="25">
        <v>8000</v>
      </c>
      <c r="E31" s="25">
        <f>7124030/1000</f>
        <v>7124.03</v>
      </c>
    </row>
    <row r="32" spans="1:5" ht="19.5" customHeight="1" x14ac:dyDescent="0.25">
      <c r="A32" s="22" t="s">
        <v>24</v>
      </c>
      <c r="B32" s="24" t="s">
        <v>11</v>
      </c>
      <c r="C32" s="31" t="s">
        <v>10</v>
      </c>
      <c r="D32" s="25">
        <v>0</v>
      </c>
      <c r="E32" s="25">
        <f>418717/1000</f>
        <v>418.71699999999998</v>
      </c>
    </row>
    <row r="33" spans="1:5" ht="19.5" customHeight="1" x14ac:dyDescent="0.25">
      <c r="A33" s="22" t="s">
        <v>24</v>
      </c>
      <c r="B33" s="20" t="s">
        <v>133</v>
      </c>
      <c r="C33" s="43" t="s">
        <v>150</v>
      </c>
      <c r="D33" s="173">
        <v>0</v>
      </c>
      <c r="E33" s="173">
        <f>1300000/1000</f>
        <v>1300</v>
      </c>
    </row>
    <row r="34" spans="1:5" ht="13.5" customHeight="1" thickBot="1" x14ac:dyDescent="0.3">
      <c r="A34" s="212" t="s">
        <v>26</v>
      </c>
      <c r="B34" s="213"/>
      <c r="C34" s="214"/>
      <c r="D34" s="155">
        <f>SUM(D30:D33)</f>
        <v>16000</v>
      </c>
      <c r="E34" s="155">
        <f>SUM(E30:E33)</f>
        <v>16857.046999999999</v>
      </c>
    </row>
    <row r="35" spans="1:5" ht="15.75" thickBot="1" x14ac:dyDescent="0.3">
      <c r="A35" s="35"/>
      <c r="B35" s="36"/>
      <c r="C35" s="36"/>
      <c r="D35" s="157"/>
      <c r="E35" s="25"/>
    </row>
    <row r="36" spans="1:5" ht="13.5" customHeight="1" thickBot="1" x14ac:dyDescent="0.3">
      <c r="A36" s="223" t="s">
        <v>27</v>
      </c>
      <c r="B36" s="224"/>
      <c r="C36" s="219"/>
      <c r="D36" s="158">
        <f>D8+D15+D22+D28+D34</f>
        <v>271995</v>
      </c>
      <c r="E36" s="158">
        <f>E8+E15+E22+E28+E34</f>
        <v>240480.90912</v>
      </c>
    </row>
    <row r="37" spans="1:5" ht="15.75" thickBot="1" x14ac:dyDescent="0.3">
      <c r="A37" s="7" t="s">
        <v>28</v>
      </c>
      <c r="B37" s="38"/>
      <c r="C37" s="39"/>
      <c r="D37" s="159"/>
      <c r="E37" s="175"/>
    </row>
    <row r="38" spans="1:5" x14ac:dyDescent="0.25">
      <c r="A38" s="16"/>
      <c r="B38" s="17"/>
      <c r="C38" s="18" t="s">
        <v>29</v>
      </c>
      <c r="D38" s="153"/>
      <c r="E38" s="154"/>
    </row>
    <row r="39" spans="1:5" x14ac:dyDescent="0.25">
      <c r="A39" s="26" t="s">
        <v>29</v>
      </c>
      <c r="B39" s="28" t="s">
        <v>6</v>
      </c>
      <c r="C39" s="40" t="s">
        <v>18</v>
      </c>
      <c r="D39" s="41">
        <v>10000</v>
      </c>
      <c r="E39" s="41">
        <f>9147051.14/1000</f>
        <v>9147.0511400000014</v>
      </c>
    </row>
    <row r="40" spans="1:5" ht="21.75" customHeight="1" x14ac:dyDescent="0.25">
      <c r="A40" s="26" t="s">
        <v>29</v>
      </c>
      <c r="B40" s="28" t="s">
        <v>6</v>
      </c>
      <c r="C40" s="19" t="s">
        <v>22</v>
      </c>
      <c r="D40" s="41">
        <v>6000</v>
      </c>
      <c r="E40" s="41">
        <f>6635350/1000</f>
        <v>6635.35</v>
      </c>
    </row>
    <row r="41" spans="1:5" ht="19.5" customHeight="1" x14ac:dyDescent="0.25">
      <c r="A41" s="22" t="s">
        <v>29</v>
      </c>
      <c r="B41" s="24" t="s">
        <v>141</v>
      </c>
      <c r="C41" s="40" t="s">
        <v>7</v>
      </c>
      <c r="D41" s="41">
        <v>11500</v>
      </c>
      <c r="E41" s="41">
        <f>6820301.06/1000</f>
        <v>6820.3010599999998</v>
      </c>
    </row>
    <row r="42" spans="1:5" ht="23.25" customHeight="1" x14ac:dyDescent="0.25">
      <c r="A42" s="26" t="s">
        <v>29</v>
      </c>
      <c r="B42" s="20" t="s">
        <v>12</v>
      </c>
      <c r="C42" s="19" t="s">
        <v>134</v>
      </c>
      <c r="D42" s="21">
        <f>12000-500</f>
        <v>11500</v>
      </c>
      <c r="E42" s="21">
        <f>8850448/1000</f>
        <v>8850.4480000000003</v>
      </c>
    </row>
    <row r="43" spans="1:5" ht="23.25" customHeight="1" x14ac:dyDescent="0.25">
      <c r="A43" s="26" t="s">
        <v>29</v>
      </c>
      <c r="B43" s="20" t="s">
        <v>11</v>
      </c>
      <c r="C43" s="19" t="s">
        <v>10</v>
      </c>
      <c r="D43" s="21">
        <v>0</v>
      </c>
      <c r="E43" s="21">
        <v>0</v>
      </c>
    </row>
    <row r="44" spans="1:5" ht="24" customHeight="1" x14ac:dyDescent="0.25">
      <c r="A44" s="22" t="s">
        <v>29</v>
      </c>
      <c r="B44" s="24" t="s">
        <v>141</v>
      </c>
      <c r="C44" s="23" t="s">
        <v>30</v>
      </c>
      <c r="D44" s="41">
        <v>3500</v>
      </c>
      <c r="E44" s="41">
        <f>2073564/1000</f>
        <v>2073.5639999999999</v>
      </c>
    </row>
    <row r="45" spans="1:5" ht="22.5" customHeight="1" x14ac:dyDescent="0.25">
      <c r="A45" s="22" t="s">
        <v>29</v>
      </c>
      <c r="B45" s="24" t="s">
        <v>141</v>
      </c>
      <c r="C45" s="23" t="s">
        <v>31</v>
      </c>
      <c r="D45" s="41">
        <v>1000</v>
      </c>
      <c r="E45" s="41">
        <f>1806261/1000</f>
        <v>1806.261</v>
      </c>
    </row>
    <row r="46" spans="1:5" ht="13.5" customHeight="1" thickBot="1" x14ac:dyDescent="0.3">
      <c r="A46" s="212" t="s">
        <v>32</v>
      </c>
      <c r="B46" s="213"/>
      <c r="C46" s="214"/>
      <c r="D46" s="155">
        <f>SUM(D39:D45)</f>
        <v>43500</v>
      </c>
      <c r="E46" s="155">
        <f>SUM(E39:E45)</f>
        <v>35332.975200000001</v>
      </c>
    </row>
    <row r="47" spans="1:5" x14ac:dyDescent="0.25">
      <c r="A47" s="16"/>
      <c r="B47" s="17"/>
      <c r="C47" s="18" t="s">
        <v>33</v>
      </c>
      <c r="D47" s="153"/>
      <c r="E47" s="160"/>
    </row>
    <row r="48" spans="1:5" x14ac:dyDescent="0.25">
      <c r="A48" s="22" t="s">
        <v>33</v>
      </c>
      <c r="B48" s="28" t="s">
        <v>6</v>
      </c>
      <c r="C48" s="40" t="s">
        <v>18</v>
      </c>
      <c r="D48" s="34">
        <v>9000</v>
      </c>
      <c r="E48" s="34">
        <f>9971800/1000</f>
        <v>9971.7999999999993</v>
      </c>
    </row>
    <row r="49" spans="1:5" ht="24.75" customHeight="1" x14ac:dyDescent="0.25">
      <c r="A49" s="22" t="s">
        <v>33</v>
      </c>
      <c r="B49" s="42" t="s">
        <v>6</v>
      </c>
      <c r="C49" s="19" t="s">
        <v>22</v>
      </c>
      <c r="D49" s="34">
        <v>3000</v>
      </c>
      <c r="E49" s="34">
        <f>3000000/1000</f>
        <v>3000</v>
      </c>
    </row>
    <row r="50" spans="1:5" ht="22.5" customHeight="1" x14ac:dyDescent="0.25">
      <c r="A50" s="26" t="s">
        <v>33</v>
      </c>
      <c r="B50" s="20" t="s">
        <v>133</v>
      </c>
      <c r="C50" s="19" t="s">
        <v>34</v>
      </c>
      <c r="D50" s="21">
        <v>8000</v>
      </c>
      <c r="E50" s="21">
        <f>8000000/1000</f>
        <v>8000</v>
      </c>
    </row>
    <row r="51" spans="1:5" ht="13.5" customHeight="1" thickBot="1" x14ac:dyDescent="0.3">
      <c r="A51" s="212" t="s">
        <v>35</v>
      </c>
      <c r="B51" s="213"/>
      <c r="C51" s="214"/>
      <c r="D51" s="155">
        <f>SUM(D48:D50)</f>
        <v>20000</v>
      </c>
      <c r="E51" s="155">
        <f>SUM(E48:E50)</f>
        <v>20971.8</v>
      </c>
    </row>
    <row r="52" spans="1:5" x14ac:dyDescent="0.25">
      <c r="A52" s="16"/>
      <c r="B52" s="17"/>
      <c r="C52" s="18" t="s">
        <v>36</v>
      </c>
      <c r="D52" s="153"/>
      <c r="E52" s="156"/>
    </row>
    <row r="53" spans="1:5" ht="22.5" customHeight="1" x14ac:dyDescent="0.25">
      <c r="A53" s="22" t="s">
        <v>36</v>
      </c>
      <c r="B53" s="42" t="s">
        <v>11</v>
      </c>
      <c r="C53" s="43" t="s">
        <v>10</v>
      </c>
      <c r="D53" s="34">
        <v>7000</v>
      </c>
      <c r="E53" s="34">
        <f>2673000/1000</f>
        <v>2673</v>
      </c>
    </row>
    <row r="54" spans="1:5" ht="24.75" customHeight="1" x14ac:dyDescent="0.25">
      <c r="A54" s="22" t="s">
        <v>36</v>
      </c>
      <c r="B54" s="24" t="s">
        <v>6</v>
      </c>
      <c r="C54" s="14" t="s">
        <v>22</v>
      </c>
      <c r="D54" s="34">
        <v>9000</v>
      </c>
      <c r="E54" s="34">
        <f>12875000/1000</f>
        <v>12875</v>
      </c>
    </row>
    <row r="55" spans="1:5" ht="13.5" customHeight="1" thickBot="1" x14ac:dyDescent="0.3">
      <c r="A55" s="212" t="s">
        <v>37</v>
      </c>
      <c r="B55" s="214"/>
      <c r="C55" s="214"/>
      <c r="D55" s="155">
        <f>SUM(D53:D54)</f>
        <v>16000</v>
      </c>
      <c r="E55" s="155">
        <f>SUM(E53:E54)</f>
        <v>15548</v>
      </c>
    </row>
    <row r="56" spans="1:5" x14ac:dyDescent="0.25">
      <c r="A56" s="16"/>
      <c r="B56" s="17"/>
      <c r="C56" s="18" t="s">
        <v>38</v>
      </c>
      <c r="D56" s="153"/>
      <c r="E56" s="153"/>
    </row>
    <row r="57" spans="1:5" ht="23.25" customHeight="1" x14ac:dyDescent="0.25">
      <c r="A57" s="26" t="s">
        <v>38</v>
      </c>
      <c r="B57" s="24" t="s">
        <v>6</v>
      </c>
      <c r="C57" s="14" t="s">
        <v>22</v>
      </c>
      <c r="D57" s="21">
        <v>5000</v>
      </c>
      <c r="E57" s="21">
        <f>4873127.83/1000</f>
        <v>4873.1278300000004</v>
      </c>
    </row>
    <row r="58" spans="1:5" ht="24.75" customHeight="1" x14ac:dyDescent="0.25">
      <c r="A58" s="26" t="s">
        <v>38</v>
      </c>
      <c r="B58" s="20" t="s">
        <v>133</v>
      </c>
      <c r="C58" s="14" t="s">
        <v>34</v>
      </c>
      <c r="D58" s="21">
        <v>8500</v>
      </c>
      <c r="E58" s="21">
        <v>0</v>
      </c>
    </row>
    <row r="59" spans="1:5" ht="14.25" customHeight="1" thickBot="1" x14ac:dyDescent="0.3">
      <c r="A59" s="212" t="s">
        <v>39</v>
      </c>
      <c r="B59" s="214"/>
      <c r="C59" s="214"/>
      <c r="D59" s="155">
        <f>SUM(D57:D58)</f>
        <v>13500</v>
      </c>
      <c r="E59" s="155">
        <f>SUM(E57:E58)</f>
        <v>4873.1278300000004</v>
      </c>
    </row>
    <row r="60" spans="1:5" x14ac:dyDescent="0.25">
      <c r="A60" s="16"/>
      <c r="B60" s="17"/>
      <c r="C60" s="18" t="s">
        <v>40</v>
      </c>
      <c r="D60" s="153"/>
      <c r="E60" s="153"/>
    </row>
    <row r="61" spans="1:5" ht="27" customHeight="1" x14ac:dyDescent="0.25">
      <c r="A61" s="26" t="s">
        <v>40</v>
      </c>
      <c r="B61" s="44" t="s">
        <v>12</v>
      </c>
      <c r="C61" s="14" t="s">
        <v>135</v>
      </c>
      <c r="D61" s="21">
        <v>4000</v>
      </c>
      <c r="E61" s="21">
        <f>4339726.27/1000</f>
        <v>4339.7262699999992</v>
      </c>
    </row>
    <row r="62" spans="1:5" ht="14.25" customHeight="1" thickBot="1" x14ac:dyDescent="0.3">
      <c r="A62" s="212" t="s">
        <v>41</v>
      </c>
      <c r="B62" s="214"/>
      <c r="C62" s="214"/>
      <c r="D62" s="155">
        <f>SUM(D61:D61)</f>
        <v>4000</v>
      </c>
      <c r="E62" s="155">
        <f>SUM(E61:E61)</f>
        <v>4339.7262699999992</v>
      </c>
    </row>
    <row r="63" spans="1:5" x14ac:dyDescent="0.25">
      <c r="A63" s="16"/>
      <c r="B63" s="17"/>
      <c r="C63" s="18" t="s">
        <v>42</v>
      </c>
      <c r="D63" s="153"/>
      <c r="E63" s="153"/>
    </row>
    <row r="64" spans="1:5" ht="18.75" customHeight="1" x14ac:dyDescent="0.25">
      <c r="A64" s="22" t="s">
        <v>42</v>
      </c>
      <c r="B64" s="23" t="s">
        <v>6</v>
      </c>
      <c r="C64" s="23" t="s">
        <v>17</v>
      </c>
      <c r="D64" s="25">
        <v>3000</v>
      </c>
      <c r="E64" s="25">
        <f>3000000/1000</f>
        <v>3000</v>
      </c>
    </row>
    <row r="65" spans="1:8" ht="18.75" customHeight="1" x14ac:dyDescent="0.25">
      <c r="A65" s="22" t="s">
        <v>42</v>
      </c>
      <c r="B65" s="23" t="s">
        <v>6</v>
      </c>
      <c r="C65" s="23" t="s">
        <v>18</v>
      </c>
      <c r="D65" s="25">
        <v>6000</v>
      </c>
      <c r="E65" s="25">
        <f>6000000/1000</f>
        <v>6000</v>
      </c>
    </row>
    <row r="66" spans="1:8" ht="20.25" customHeight="1" x14ac:dyDescent="0.25">
      <c r="A66" s="22" t="s">
        <v>42</v>
      </c>
      <c r="B66" s="23" t="s">
        <v>11</v>
      </c>
      <c r="C66" s="23" t="s">
        <v>31</v>
      </c>
      <c r="D66" s="25">
        <v>0</v>
      </c>
      <c r="E66" s="25">
        <v>0</v>
      </c>
    </row>
    <row r="67" spans="1:8" ht="22.5" customHeight="1" x14ac:dyDescent="0.25">
      <c r="A67" s="22" t="s">
        <v>42</v>
      </c>
      <c r="B67" s="23" t="s">
        <v>141</v>
      </c>
      <c r="C67" s="23" t="s">
        <v>7</v>
      </c>
      <c r="D67" s="25">
        <v>8000</v>
      </c>
      <c r="E67" s="25">
        <f>9545774.13/1000</f>
        <v>9545.7741300000016</v>
      </c>
    </row>
    <row r="68" spans="1:8" ht="14.25" customHeight="1" thickBot="1" x14ac:dyDescent="0.3">
      <c r="A68" s="221" t="s">
        <v>43</v>
      </c>
      <c r="B68" s="222"/>
      <c r="C68" s="222"/>
      <c r="D68" s="45">
        <f>SUM(D64:D67)</f>
        <v>17000</v>
      </c>
      <c r="E68" s="185">
        <f>SUM(E64:E67)</f>
        <v>18545.774130000002</v>
      </c>
    </row>
    <row r="69" spans="1:8" ht="14.25" customHeight="1" thickBot="1" x14ac:dyDescent="0.3">
      <c r="A69" s="223" t="s">
        <v>44</v>
      </c>
      <c r="B69" s="224"/>
      <c r="C69" s="219"/>
      <c r="D69" s="37">
        <f>D46+D51+D55+D59+D62+D68</f>
        <v>114000</v>
      </c>
      <c r="E69" s="158">
        <f>E46+E51+E55+E59+E62+E68</f>
        <v>99611.403430000006</v>
      </c>
    </row>
    <row r="70" spans="1:8" ht="13.5" customHeight="1" thickBot="1" x14ac:dyDescent="0.3">
      <c r="A70" s="166"/>
      <c r="B70" s="167"/>
      <c r="C70" s="168"/>
      <c r="D70" s="46"/>
      <c r="E70" s="186"/>
    </row>
    <row r="71" spans="1:8" ht="13.5" customHeight="1" x14ac:dyDescent="0.25">
      <c r="A71" s="220" t="s">
        <v>146</v>
      </c>
      <c r="B71" s="220"/>
      <c r="C71" s="220" t="s">
        <v>146</v>
      </c>
      <c r="D71" s="220"/>
      <c r="E71" s="220"/>
    </row>
    <row r="72" spans="1:8" ht="13.5" customHeight="1" thickBot="1" x14ac:dyDescent="0.3">
      <c r="A72" s="221" t="s">
        <v>171</v>
      </c>
      <c r="B72" s="222"/>
      <c r="C72" s="222"/>
      <c r="D72" s="45">
        <v>0</v>
      </c>
      <c r="E72" s="185">
        <f>7723632.2/1000</f>
        <v>7723.6322</v>
      </c>
    </row>
    <row r="73" spans="1:8" ht="13.5" customHeight="1" thickBot="1" x14ac:dyDescent="0.3">
      <c r="A73" s="166"/>
      <c r="B73" s="167"/>
      <c r="C73" s="168"/>
      <c r="D73" s="46"/>
      <c r="E73" s="186"/>
    </row>
    <row r="74" spans="1:8" ht="13.5" customHeight="1" thickBot="1" x14ac:dyDescent="0.3">
      <c r="A74" s="225" t="s">
        <v>45</v>
      </c>
      <c r="B74" s="226"/>
      <c r="C74" s="227"/>
      <c r="D74" s="46">
        <v>0</v>
      </c>
      <c r="E74" s="186"/>
    </row>
    <row r="75" spans="1:8" ht="9.75" customHeight="1" thickBot="1" x14ac:dyDescent="0.3">
      <c r="A75" s="47"/>
      <c r="B75" s="36"/>
      <c r="C75" s="36"/>
      <c r="D75" s="36"/>
      <c r="E75" s="187"/>
    </row>
    <row r="76" spans="1:8" ht="13.5" customHeight="1" thickBot="1" x14ac:dyDescent="0.3">
      <c r="A76" s="217" t="s">
        <v>46</v>
      </c>
      <c r="B76" s="218"/>
      <c r="C76" s="219"/>
      <c r="D76" s="48">
        <f>D74+D69+D36</f>
        <v>385995</v>
      </c>
      <c r="E76" s="188">
        <f>E74+E69+E36+E72</f>
        <v>347815.94475000002</v>
      </c>
      <c r="H76" s="174"/>
    </row>
    <row r="77" spans="1:8" ht="9" customHeight="1" thickBot="1" x14ac:dyDescent="0.3">
      <c r="A77" s="215"/>
      <c r="B77" s="216"/>
      <c r="C77" s="216"/>
      <c r="D77" s="216"/>
      <c r="E77" s="216"/>
    </row>
    <row r="78" spans="1:8" ht="13.5" customHeight="1" thickBot="1" x14ac:dyDescent="0.3">
      <c r="A78" s="239" t="s">
        <v>47</v>
      </c>
      <c r="B78" s="240"/>
      <c r="C78" s="240"/>
      <c r="D78" s="240"/>
      <c r="E78" s="240"/>
    </row>
    <row r="79" spans="1:8" ht="12.75" customHeight="1" x14ac:dyDescent="0.25">
      <c r="A79" s="244" t="s">
        <v>48</v>
      </c>
      <c r="B79" s="245"/>
      <c r="C79" s="245"/>
      <c r="D79" s="245"/>
      <c r="E79" s="245"/>
    </row>
    <row r="80" spans="1:8" ht="24" customHeight="1" x14ac:dyDescent="0.25">
      <c r="A80" s="49" t="s">
        <v>49</v>
      </c>
      <c r="B80" s="50" t="s">
        <v>50</v>
      </c>
      <c r="C80" s="51" t="s">
        <v>51</v>
      </c>
      <c r="D80" s="52">
        <v>12000</v>
      </c>
      <c r="E80" s="52">
        <f>12281848/1000</f>
        <v>12281.848</v>
      </c>
    </row>
    <row r="81" spans="1:5" ht="33.75" customHeight="1" x14ac:dyDescent="0.25">
      <c r="A81" s="22" t="s">
        <v>49</v>
      </c>
      <c r="B81" s="53" t="s">
        <v>50</v>
      </c>
      <c r="C81" s="23" t="s">
        <v>52</v>
      </c>
      <c r="D81" s="54">
        <v>3000</v>
      </c>
      <c r="E81" s="54">
        <f>4537532/1000</f>
        <v>4537.5320000000002</v>
      </c>
    </row>
    <row r="82" spans="1:5" ht="24.75" customHeight="1" x14ac:dyDescent="0.25">
      <c r="A82" s="13" t="s">
        <v>49</v>
      </c>
      <c r="B82" s="55" t="s">
        <v>53</v>
      </c>
      <c r="C82" s="56" t="s">
        <v>54</v>
      </c>
      <c r="D82" s="25">
        <v>3000</v>
      </c>
      <c r="E82" s="25">
        <f>2812339/1000</f>
        <v>2812.3389999999999</v>
      </c>
    </row>
    <row r="83" spans="1:5" ht="46.5" customHeight="1" x14ac:dyDescent="0.25">
      <c r="A83" s="13" t="s">
        <v>49</v>
      </c>
      <c r="B83" s="55" t="s">
        <v>53</v>
      </c>
      <c r="C83" s="56" t="s">
        <v>55</v>
      </c>
      <c r="D83" s="41">
        <v>2500</v>
      </c>
      <c r="E83" s="41">
        <f>2600000/1000</f>
        <v>2600</v>
      </c>
    </row>
    <row r="84" spans="1:5" ht="24.75" customHeight="1" x14ac:dyDescent="0.25">
      <c r="A84" s="13" t="s">
        <v>49</v>
      </c>
      <c r="B84" s="55" t="s">
        <v>17</v>
      </c>
      <c r="C84" s="56" t="s">
        <v>144</v>
      </c>
      <c r="D84" s="41">
        <v>11000</v>
      </c>
      <c r="E84" s="41">
        <f>11025320.46/1000</f>
        <v>11025.320460000001</v>
      </c>
    </row>
    <row r="85" spans="1:5" ht="37.5" customHeight="1" x14ac:dyDescent="0.25">
      <c r="A85" s="22" t="s">
        <v>56</v>
      </c>
      <c r="B85" s="55" t="s">
        <v>57</v>
      </c>
      <c r="C85" s="23" t="s">
        <v>58</v>
      </c>
      <c r="D85" s="25">
        <v>1500</v>
      </c>
      <c r="E85" s="25">
        <f>1342596/1000</f>
        <v>1342.596</v>
      </c>
    </row>
    <row r="86" spans="1:5" ht="24" customHeight="1" x14ac:dyDescent="0.25">
      <c r="A86" s="22" t="s">
        <v>59</v>
      </c>
      <c r="B86" s="55" t="s">
        <v>57</v>
      </c>
      <c r="C86" s="23" t="s">
        <v>60</v>
      </c>
      <c r="D86" s="29">
        <v>39000</v>
      </c>
      <c r="E86" s="29">
        <f>35325585/1000</f>
        <v>35325.584999999999</v>
      </c>
    </row>
    <row r="87" spans="1:5" ht="14.25" customHeight="1" thickBot="1" x14ac:dyDescent="0.3">
      <c r="A87" s="241" t="s">
        <v>61</v>
      </c>
      <c r="B87" s="242"/>
      <c r="C87" s="243"/>
      <c r="D87" s="67">
        <f>SUM(D80:D86)</f>
        <v>72000</v>
      </c>
      <c r="E87" s="67">
        <f>SUM(E80:E86)</f>
        <v>69925.220459999997</v>
      </c>
    </row>
    <row r="88" spans="1:5" ht="15.75" hidden="1" thickBot="1" x14ac:dyDescent="0.3">
      <c r="A88" s="147"/>
      <c r="B88" s="148"/>
      <c r="C88" s="149"/>
      <c r="D88" s="149"/>
      <c r="E88" s="149"/>
    </row>
    <row r="89" spans="1:5" ht="15.75" hidden="1" thickBot="1" x14ac:dyDescent="0.3">
      <c r="A89" s="150"/>
      <c r="B89" s="151"/>
      <c r="C89" s="151"/>
      <c r="D89" s="151"/>
      <c r="E89" s="151"/>
    </row>
    <row r="90" spans="1:5" ht="15.75" hidden="1" thickBot="1" x14ac:dyDescent="0.3">
      <c r="A90" s="150"/>
      <c r="B90" s="151"/>
      <c r="C90" s="151"/>
      <c r="D90" s="151"/>
      <c r="E90" s="151"/>
    </row>
    <row r="91" spans="1:5" ht="15.75" hidden="1" thickBot="1" x14ac:dyDescent="0.3">
      <c r="A91" s="150"/>
      <c r="B91" s="151"/>
      <c r="C91" s="151"/>
      <c r="D91" s="151"/>
      <c r="E91" s="151"/>
    </row>
    <row r="92" spans="1:5" ht="15.75" hidden="1" thickBot="1" x14ac:dyDescent="0.3">
      <c r="A92" s="150"/>
      <c r="B92" s="151"/>
      <c r="C92" s="151"/>
      <c r="D92" s="151"/>
      <c r="E92" s="151"/>
    </row>
    <row r="93" spans="1:5" ht="15.75" hidden="1" thickBot="1" x14ac:dyDescent="0.3">
      <c r="A93" s="150"/>
      <c r="B93" s="151"/>
      <c r="C93" s="151"/>
      <c r="D93" s="151"/>
      <c r="E93" s="151"/>
    </row>
    <row r="94" spans="1:5" ht="15.75" hidden="1" thickBot="1" x14ac:dyDescent="0.3">
      <c r="A94" s="150"/>
      <c r="B94" s="151"/>
      <c r="C94" s="151"/>
      <c r="D94" s="151"/>
      <c r="E94" s="151"/>
    </row>
    <row r="95" spans="1:5" ht="15.75" hidden="1" thickBot="1" x14ac:dyDescent="0.3">
      <c r="A95" s="150"/>
      <c r="B95" s="151"/>
      <c r="C95" s="151"/>
      <c r="D95" s="151"/>
      <c r="E95" s="151"/>
    </row>
    <row r="96" spans="1:5" ht="15.75" hidden="1" thickBot="1" x14ac:dyDescent="0.3">
      <c r="A96" s="249"/>
      <c r="B96" s="250"/>
      <c r="C96" s="250"/>
      <c r="D96" s="250"/>
      <c r="E96" s="250"/>
    </row>
    <row r="97" spans="1:5" ht="14.25" customHeight="1" thickBot="1" x14ac:dyDescent="0.3">
      <c r="A97" s="251" t="s">
        <v>62</v>
      </c>
      <c r="B97" s="252"/>
      <c r="C97" s="252"/>
      <c r="D97" s="252"/>
      <c r="E97" s="253"/>
    </row>
    <row r="98" spans="1:5" ht="65.25" customHeight="1" x14ac:dyDescent="0.25">
      <c r="A98" s="58" t="s">
        <v>59</v>
      </c>
      <c r="B98" s="59" t="s">
        <v>57</v>
      </c>
      <c r="C98" s="60" t="s">
        <v>63</v>
      </c>
      <c r="D98" s="61">
        <v>4000</v>
      </c>
      <c r="E98" s="61">
        <f>5503885.75/1000</f>
        <v>5503.8857500000004</v>
      </c>
    </row>
    <row r="99" spans="1:5" ht="36.75" customHeight="1" x14ac:dyDescent="0.25">
      <c r="A99" s="62" t="s">
        <v>59</v>
      </c>
      <c r="B99" s="55" t="s">
        <v>57</v>
      </c>
      <c r="C99" s="130" t="s">
        <v>64</v>
      </c>
      <c r="D99" s="25">
        <v>16000</v>
      </c>
      <c r="E99" s="25">
        <f>21621531.77/1000</f>
        <v>21621.531769999998</v>
      </c>
    </row>
    <row r="100" spans="1:5" ht="23.25" x14ac:dyDescent="0.25">
      <c r="A100" s="64" t="s">
        <v>59</v>
      </c>
      <c r="B100" s="55" t="s">
        <v>57</v>
      </c>
      <c r="C100" s="130" t="s">
        <v>65</v>
      </c>
      <c r="D100" s="25">
        <v>5000</v>
      </c>
      <c r="E100" s="25">
        <f>4800353.71/1000</f>
        <v>4800.3537100000003</v>
      </c>
    </row>
    <row r="101" spans="1:5" ht="24" customHeight="1" thickBot="1" x14ac:dyDescent="0.3">
      <c r="A101" s="246" t="s">
        <v>66</v>
      </c>
      <c r="B101" s="247"/>
      <c r="C101" s="248"/>
      <c r="D101" s="65">
        <f>SUM(D98:D100)</f>
        <v>25000</v>
      </c>
      <c r="E101" s="65">
        <f>SUM(E98:E100)</f>
        <v>31925.771229999998</v>
      </c>
    </row>
    <row r="102" spans="1:5" ht="11.25" customHeight="1" thickBot="1" x14ac:dyDescent="0.3">
      <c r="A102" s="265"/>
      <c r="B102" s="266"/>
      <c r="C102" s="266"/>
      <c r="D102" s="266"/>
      <c r="E102" s="266"/>
    </row>
    <row r="103" spans="1:5" x14ac:dyDescent="0.25">
      <c r="A103" s="244" t="s">
        <v>67</v>
      </c>
      <c r="B103" s="245"/>
      <c r="C103" s="245"/>
      <c r="D103" s="245"/>
      <c r="E103" s="264"/>
    </row>
    <row r="104" spans="1:5" ht="33" customHeight="1" x14ac:dyDescent="0.25">
      <c r="A104" s="22" t="s">
        <v>49</v>
      </c>
      <c r="B104" s="55" t="s">
        <v>68</v>
      </c>
      <c r="C104" s="23" t="s">
        <v>69</v>
      </c>
      <c r="D104" s="25">
        <v>13046</v>
      </c>
      <c r="E104" s="25">
        <f>12935279/1000</f>
        <v>12935.279</v>
      </c>
    </row>
    <row r="105" spans="1:5" ht="24" customHeight="1" x14ac:dyDescent="0.25">
      <c r="A105" s="22" t="s">
        <v>49</v>
      </c>
      <c r="B105" s="55" t="s">
        <v>68</v>
      </c>
      <c r="C105" s="23" t="s">
        <v>70</v>
      </c>
      <c r="D105" s="25">
        <v>11125</v>
      </c>
      <c r="E105" s="25">
        <f>11002684.97/1000</f>
        <v>11002.68497</v>
      </c>
    </row>
    <row r="106" spans="1:5" ht="44.25" customHeight="1" x14ac:dyDescent="0.25">
      <c r="A106" s="13" t="s">
        <v>71</v>
      </c>
      <c r="B106" s="79" t="s">
        <v>68</v>
      </c>
      <c r="C106" s="23" t="s">
        <v>72</v>
      </c>
      <c r="D106" s="25">
        <v>6000</v>
      </c>
      <c r="E106" s="25">
        <f>5764644.65000012/1000</f>
        <v>5764.6446500001193</v>
      </c>
    </row>
    <row r="107" spans="1:5" ht="13.5" customHeight="1" thickBot="1" x14ac:dyDescent="0.3">
      <c r="A107" s="269" t="s">
        <v>73</v>
      </c>
      <c r="B107" s="270"/>
      <c r="C107" s="243"/>
      <c r="D107" s="66">
        <f>SUM(D104:D104:D106)</f>
        <v>30171</v>
      </c>
      <c r="E107" s="66">
        <f>SUM(E104:E104:E106)</f>
        <v>29702.608620000119</v>
      </c>
    </row>
    <row r="108" spans="1:5" ht="13.5" customHeight="1" thickBot="1" x14ac:dyDescent="0.3">
      <c r="A108" s="254" t="s">
        <v>74</v>
      </c>
      <c r="B108" s="255"/>
      <c r="C108" s="256"/>
      <c r="D108" s="68">
        <f>D87+D107+D101</f>
        <v>127171</v>
      </c>
      <c r="E108" s="68">
        <f>E87+E107+E101</f>
        <v>131553.60031000013</v>
      </c>
    </row>
    <row r="109" spans="1:5" ht="9" customHeight="1" x14ac:dyDescent="0.25">
      <c r="A109" s="163"/>
      <c r="B109" s="164"/>
      <c r="C109" s="164"/>
      <c r="D109" s="164"/>
      <c r="E109" s="175"/>
    </row>
    <row r="110" spans="1:5" ht="9" customHeight="1" x14ac:dyDescent="0.25">
      <c r="A110" s="169"/>
      <c r="B110" s="164"/>
      <c r="C110" s="164"/>
      <c r="D110" s="164"/>
      <c r="E110" s="175"/>
    </row>
    <row r="111" spans="1:5" ht="36" x14ac:dyDescent="0.25">
      <c r="A111" s="170" t="s">
        <v>172</v>
      </c>
      <c r="B111" s="162"/>
      <c r="C111" s="23" t="s">
        <v>147</v>
      </c>
      <c r="D111" s="25">
        <v>0</v>
      </c>
      <c r="E111" s="25">
        <f>1700000/1000</f>
        <v>1700</v>
      </c>
    </row>
    <row r="112" spans="1:5" ht="56.25" x14ac:dyDescent="0.25">
      <c r="A112" s="170" t="s">
        <v>148</v>
      </c>
      <c r="B112" s="162"/>
      <c r="C112" s="23" t="s">
        <v>149</v>
      </c>
      <c r="D112" s="25">
        <v>0</v>
      </c>
      <c r="E112" s="25">
        <f>25000000/1000</f>
        <v>25000</v>
      </c>
    </row>
    <row r="113" spans="1:8" ht="9.75" customHeight="1" thickBot="1" x14ac:dyDescent="0.3">
      <c r="A113" s="267"/>
      <c r="B113" s="268"/>
      <c r="C113" s="268"/>
      <c r="D113" s="268"/>
      <c r="E113" s="268"/>
    </row>
    <row r="114" spans="1:8" ht="13.5" customHeight="1" thickBot="1" x14ac:dyDescent="0.3">
      <c r="A114" s="236" t="s">
        <v>75</v>
      </c>
      <c r="B114" s="237"/>
      <c r="C114" s="238"/>
      <c r="D114" s="69">
        <f>D108+D76</f>
        <v>513166</v>
      </c>
      <c r="E114" s="69">
        <f>E108+E76+E111+E112</f>
        <v>506069.54506000015</v>
      </c>
    </row>
    <row r="115" spans="1:8" ht="10.5" customHeight="1" thickBot="1" x14ac:dyDescent="0.3">
      <c r="A115" s="215"/>
      <c r="B115" s="216"/>
      <c r="C115" s="216"/>
      <c r="D115" s="216"/>
      <c r="E115" s="216"/>
    </row>
    <row r="116" spans="1:8" ht="13.5" customHeight="1" thickBot="1" x14ac:dyDescent="0.3">
      <c r="A116" s="239" t="s">
        <v>76</v>
      </c>
      <c r="B116" s="240"/>
      <c r="C116" s="240"/>
      <c r="D116" s="240"/>
      <c r="E116" s="240"/>
    </row>
    <row r="117" spans="1:8" x14ac:dyDescent="0.25">
      <c r="A117" s="271" t="s">
        <v>77</v>
      </c>
      <c r="B117" s="272"/>
      <c r="C117" s="273"/>
      <c r="D117" s="273"/>
      <c r="E117" s="273"/>
    </row>
    <row r="118" spans="1:8" ht="35.25" customHeight="1" x14ac:dyDescent="0.25">
      <c r="A118" s="70" t="s">
        <v>59</v>
      </c>
      <c r="B118" s="137" t="s">
        <v>57</v>
      </c>
      <c r="C118" s="208" t="s">
        <v>78</v>
      </c>
      <c r="D118" s="63">
        <v>29000</v>
      </c>
      <c r="E118" s="25">
        <v>28311.64589</v>
      </c>
      <c r="H118" s="165"/>
    </row>
    <row r="119" spans="1:8" ht="13.5" customHeight="1" thickBot="1" x14ac:dyDescent="0.3">
      <c r="A119" s="231" t="s">
        <v>79</v>
      </c>
      <c r="B119" s="232"/>
      <c r="C119" s="233"/>
      <c r="D119" s="57">
        <v>29000</v>
      </c>
      <c r="E119" s="67">
        <v>28312</v>
      </c>
    </row>
    <row r="120" spans="1:8" ht="9.75" customHeight="1" x14ac:dyDescent="0.25">
      <c r="A120" s="234"/>
      <c r="B120" s="235"/>
      <c r="C120" s="235"/>
      <c r="D120" s="235"/>
      <c r="E120" s="235"/>
    </row>
    <row r="121" spans="1:8" ht="13.5" customHeight="1" x14ac:dyDescent="0.25">
      <c r="A121" s="257" t="s">
        <v>153</v>
      </c>
      <c r="B121" s="258"/>
      <c r="C121" s="259"/>
      <c r="D121" s="260"/>
      <c r="E121" s="260"/>
    </row>
    <row r="122" spans="1:8" ht="47.25" customHeight="1" x14ac:dyDescent="0.25">
      <c r="A122" s="138" t="s">
        <v>59</v>
      </c>
      <c r="B122" s="200" t="s">
        <v>134</v>
      </c>
      <c r="C122" s="139" t="s">
        <v>80</v>
      </c>
      <c r="D122" s="74">
        <v>3000</v>
      </c>
      <c r="E122" s="25">
        <v>3000</v>
      </c>
    </row>
    <row r="123" spans="1:8" ht="24.75" customHeight="1" x14ac:dyDescent="0.25">
      <c r="A123" s="138" t="s">
        <v>59</v>
      </c>
      <c r="B123" s="200" t="s">
        <v>81</v>
      </c>
      <c r="C123" s="139" t="s">
        <v>82</v>
      </c>
      <c r="D123" s="74">
        <v>7000</v>
      </c>
      <c r="E123" s="25">
        <v>7000</v>
      </c>
    </row>
    <row r="124" spans="1:8" ht="35.25" customHeight="1" x14ac:dyDescent="0.25">
      <c r="A124" s="138" t="s">
        <v>59</v>
      </c>
      <c r="B124" s="200" t="s">
        <v>134</v>
      </c>
      <c r="C124" s="139" t="s">
        <v>83</v>
      </c>
      <c r="D124" s="74">
        <v>7000</v>
      </c>
      <c r="E124" s="25">
        <v>5815</v>
      </c>
    </row>
    <row r="125" spans="1:8" ht="14.25" customHeight="1" thickBot="1" x14ac:dyDescent="0.3">
      <c r="A125" s="261" t="s">
        <v>156</v>
      </c>
      <c r="B125" s="262"/>
      <c r="C125" s="263"/>
      <c r="D125" s="73">
        <f>SUM(D122:D124)</f>
        <v>17000</v>
      </c>
      <c r="E125" s="66">
        <f>SUM(E122:E124)</f>
        <v>15815</v>
      </c>
    </row>
    <row r="126" spans="1:8" ht="9.75" customHeight="1" x14ac:dyDescent="0.25">
      <c r="A126" s="234"/>
      <c r="B126" s="235"/>
      <c r="C126" s="235"/>
      <c r="D126" s="235"/>
      <c r="E126" s="235"/>
    </row>
    <row r="127" spans="1:8" x14ac:dyDescent="0.25">
      <c r="A127" s="257" t="s">
        <v>84</v>
      </c>
      <c r="B127" s="258"/>
      <c r="C127" s="259"/>
      <c r="D127" s="260"/>
      <c r="E127" s="260"/>
    </row>
    <row r="128" spans="1:8" ht="27.75" customHeight="1" x14ac:dyDescent="0.25">
      <c r="A128" s="140" t="s">
        <v>59</v>
      </c>
      <c r="B128" s="137" t="s">
        <v>57</v>
      </c>
      <c r="C128" s="139" t="s">
        <v>85</v>
      </c>
      <c r="D128" s="74">
        <v>12000</v>
      </c>
      <c r="E128" s="72">
        <v>12000</v>
      </c>
    </row>
    <row r="129" spans="1:5" ht="34.5" customHeight="1" x14ac:dyDescent="0.25">
      <c r="A129" s="140" t="s">
        <v>59</v>
      </c>
      <c r="B129" s="137" t="s">
        <v>57</v>
      </c>
      <c r="C129" s="139" t="s">
        <v>86</v>
      </c>
      <c r="D129" s="74">
        <v>8000</v>
      </c>
      <c r="E129" s="72">
        <v>8000</v>
      </c>
    </row>
    <row r="130" spans="1:5" ht="57.75" customHeight="1" x14ac:dyDescent="0.25">
      <c r="A130" s="140" t="s">
        <v>59</v>
      </c>
      <c r="B130" s="137" t="s">
        <v>57</v>
      </c>
      <c r="C130" s="139" t="s">
        <v>136</v>
      </c>
      <c r="D130" s="74">
        <v>10000</v>
      </c>
      <c r="E130" s="72">
        <v>2000</v>
      </c>
    </row>
    <row r="131" spans="1:5" ht="36" customHeight="1" x14ac:dyDescent="0.25">
      <c r="A131" s="140" t="s">
        <v>59</v>
      </c>
      <c r="B131" s="137" t="s">
        <v>68</v>
      </c>
      <c r="C131" s="139" t="s">
        <v>87</v>
      </c>
      <c r="D131" s="74">
        <v>1000</v>
      </c>
      <c r="E131" s="72">
        <v>600</v>
      </c>
    </row>
    <row r="132" spans="1:5" ht="38.25" customHeight="1" x14ac:dyDescent="0.25">
      <c r="A132" s="140" t="s">
        <v>49</v>
      </c>
      <c r="B132" s="137" t="s">
        <v>68</v>
      </c>
      <c r="C132" s="139" t="s">
        <v>88</v>
      </c>
      <c r="D132" s="74">
        <v>2000</v>
      </c>
      <c r="E132" s="72">
        <v>1811.1921299999999</v>
      </c>
    </row>
    <row r="133" spans="1:5" ht="24.75" customHeight="1" thickBot="1" x14ac:dyDescent="0.3">
      <c r="A133" s="282" t="s">
        <v>154</v>
      </c>
      <c r="B133" s="283"/>
      <c r="C133" s="233"/>
      <c r="D133" s="75">
        <f>SUM(D128:D132)</f>
        <v>33000</v>
      </c>
      <c r="E133" s="189">
        <f>SUM(E128:E132)</f>
        <v>24411.192129999999</v>
      </c>
    </row>
    <row r="134" spans="1:5" ht="13.5" customHeight="1" thickBot="1" x14ac:dyDescent="0.3">
      <c r="A134" s="277" t="s">
        <v>89</v>
      </c>
      <c r="B134" s="278"/>
      <c r="C134" s="279"/>
      <c r="D134" s="142">
        <f>D133+D125+D119</f>
        <v>79000</v>
      </c>
      <c r="E134" s="211">
        <f>(E133+E125+E119)</f>
        <v>68538.192129999996</v>
      </c>
    </row>
    <row r="135" spans="1:5" ht="18.75" customHeight="1" x14ac:dyDescent="0.25">
      <c r="A135" s="140" t="s">
        <v>157</v>
      </c>
      <c r="B135" s="137" t="s">
        <v>159</v>
      </c>
      <c r="C135" s="139" t="s">
        <v>163</v>
      </c>
      <c r="D135" s="74">
        <v>25000</v>
      </c>
      <c r="E135" s="72">
        <v>25000</v>
      </c>
    </row>
    <row r="136" spans="1:5" ht="13.5" customHeight="1" x14ac:dyDescent="0.25">
      <c r="A136" s="140" t="s">
        <v>158</v>
      </c>
      <c r="B136" s="137"/>
      <c r="C136" s="139" t="s">
        <v>162</v>
      </c>
      <c r="D136" s="74">
        <v>5000</v>
      </c>
      <c r="E136" s="72">
        <v>5000</v>
      </c>
    </row>
    <row r="137" spans="1:5" ht="13.5" customHeight="1" thickBot="1" x14ac:dyDescent="0.3">
      <c r="A137" s="140" t="s">
        <v>158</v>
      </c>
      <c r="B137" s="137"/>
      <c r="C137" s="139" t="s">
        <v>164</v>
      </c>
      <c r="D137" s="74">
        <v>8500</v>
      </c>
      <c r="E137" s="72">
        <v>8500</v>
      </c>
    </row>
    <row r="138" spans="1:5" ht="13.5" customHeight="1" thickBot="1" x14ac:dyDescent="0.3">
      <c r="A138" s="277" t="s">
        <v>167</v>
      </c>
      <c r="B138" s="278"/>
      <c r="C138" s="279"/>
      <c r="D138" s="142">
        <f>(D134+D135+D136+D137)-D125</f>
        <v>100500</v>
      </c>
      <c r="E138" s="211">
        <f>(E134+E135+E136+E137)-E125</f>
        <v>91223.192129999996</v>
      </c>
    </row>
    <row r="139" spans="1:5" ht="10.5" customHeight="1" thickBot="1" x14ac:dyDescent="0.3">
      <c r="A139" s="201"/>
      <c r="B139" s="202"/>
      <c r="C139" s="203"/>
      <c r="D139" s="203"/>
      <c r="E139" s="204"/>
    </row>
    <row r="140" spans="1:5" x14ac:dyDescent="0.25">
      <c r="A140" s="285" t="s">
        <v>155</v>
      </c>
      <c r="B140" s="286"/>
      <c r="C140" s="287"/>
      <c r="D140" s="287"/>
      <c r="E140" s="287"/>
    </row>
    <row r="141" spans="1:5" ht="26.25" customHeight="1" x14ac:dyDescent="0.25">
      <c r="A141" s="70" t="s">
        <v>71</v>
      </c>
      <c r="B141" s="137" t="s">
        <v>68</v>
      </c>
      <c r="C141" s="71" t="s">
        <v>90</v>
      </c>
      <c r="D141" s="141">
        <v>6000</v>
      </c>
      <c r="E141" s="176">
        <v>1952.7193</v>
      </c>
    </row>
    <row r="142" spans="1:5" ht="72" customHeight="1" x14ac:dyDescent="0.25">
      <c r="A142" s="70" t="s">
        <v>59</v>
      </c>
      <c r="B142" s="137" t="s">
        <v>68</v>
      </c>
      <c r="C142" s="71" t="s">
        <v>91</v>
      </c>
      <c r="D142" s="141">
        <v>12000</v>
      </c>
      <c r="E142" s="176">
        <v>12000</v>
      </c>
    </row>
    <row r="143" spans="1:5" ht="24" customHeight="1" x14ac:dyDescent="0.25">
      <c r="A143" s="70" t="s">
        <v>59</v>
      </c>
      <c r="B143" s="137" t="s">
        <v>68</v>
      </c>
      <c r="C143" s="71" t="s">
        <v>92</v>
      </c>
      <c r="D143" s="141">
        <v>8000</v>
      </c>
      <c r="E143" s="176">
        <v>4202.2362599999997</v>
      </c>
    </row>
    <row r="144" spans="1:5" ht="15.75" thickBot="1" x14ac:dyDescent="0.3">
      <c r="A144" s="282" t="s">
        <v>93</v>
      </c>
      <c r="B144" s="283"/>
      <c r="C144" s="233"/>
      <c r="D144" s="76">
        <f>SUM(D141:D143)</f>
        <v>26000</v>
      </c>
      <c r="E144" s="177">
        <f>SUM(E141:E143)</f>
        <v>18154.955560000002</v>
      </c>
    </row>
    <row r="145" spans="1:5" ht="14.25" customHeight="1" thickBot="1" x14ac:dyDescent="0.3">
      <c r="A145" s="277" t="s">
        <v>166</v>
      </c>
      <c r="B145" s="278"/>
      <c r="C145" s="279"/>
      <c r="D145" s="142">
        <f>D144+D138</f>
        <v>126500</v>
      </c>
      <c r="E145" s="190">
        <f>E144+E138</f>
        <v>109378.14769</v>
      </c>
    </row>
    <row r="146" spans="1:5" x14ac:dyDescent="0.25">
      <c r="A146" s="288" t="s">
        <v>94</v>
      </c>
      <c r="B146" s="289"/>
      <c r="C146" s="289"/>
      <c r="D146" s="289"/>
      <c r="E146" s="289"/>
    </row>
    <row r="147" spans="1:5" x14ac:dyDescent="0.25">
      <c r="A147" s="290" t="s">
        <v>168</v>
      </c>
      <c r="B147" s="290"/>
      <c r="C147" s="291"/>
      <c r="D147" s="74">
        <v>130000</v>
      </c>
      <c r="E147" s="72">
        <v>0</v>
      </c>
    </row>
    <row r="148" spans="1:5" x14ac:dyDescent="0.25">
      <c r="A148" s="294" t="s">
        <v>160</v>
      </c>
      <c r="B148" s="294"/>
      <c r="C148" s="295"/>
      <c r="D148" s="205">
        <v>133309.09327000001</v>
      </c>
      <c r="E148" s="206">
        <v>131817.37961999999</v>
      </c>
    </row>
    <row r="149" spans="1:5" x14ac:dyDescent="0.25">
      <c r="A149" s="290" t="s">
        <v>169</v>
      </c>
      <c r="B149" s="290"/>
      <c r="C149" s="291"/>
      <c r="D149" s="74">
        <v>53000</v>
      </c>
      <c r="E149" s="72">
        <v>0</v>
      </c>
    </row>
    <row r="150" spans="1:5" x14ac:dyDescent="0.25">
      <c r="A150" s="209" t="s">
        <v>161</v>
      </c>
      <c r="B150" s="210"/>
      <c r="C150" s="207"/>
      <c r="D150" s="205">
        <v>61000</v>
      </c>
      <c r="E150" s="206">
        <v>60688.34</v>
      </c>
    </row>
    <row r="151" spans="1:5" ht="102.75" customHeight="1" x14ac:dyDescent="0.25">
      <c r="A151" s="138" t="s">
        <v>4</v>
      </c>
      <c r="B151" s="143" t="s">
        <v>96</v>
      </c>
      <c r="C151" s="139" t="s">
        <v>137</v>
      </c>
      <c r="D151" s="74">
        <v>40000</v>
      </c>
      <c r="E151" s="72">
        <v>40000</v>
      </c>
    </row>
    <row r="152" spans="1:5" ht="101.25" customHeight="1" thickBot="1" x14ac:dyDescent="0.3">
      <c r="A152" s="138" t="s">
        <v>4</v>
      </c>
      <c r="B152" s="143" t="s">
        <v>96</v>
      </c>
      <c r="C152" s="139" t="s">
        <v>138</v>
      </c>
      <c r="D152" s="144">
        <v>0</v>
      </c>
      <c r="E152" s="178">
        <v>0</v>
      </c>
    </row>
    <row r="153" spans="1:5" ht="14.25" customHeight="1" thickBot="1" x14ac:dyDescent="0.3">
      <c r="A153" s="292" t="s">
        <v>170</v>
      </c>
      <c r="B153" s="293"/>
      <c r="C153" s="293"/>
      <c r="D153" s="145">
        <f>D148+D150+D151</f>
        <v>234309.09327000001</v>
      </c>
      <c r="E153" s="179">
        <f>E148+E150+E151</f>
        <v>232505.71961999999</v>
      </c>
    </row>
    <row r="154" spans="1:5" ht="23.25" customHeight="1" thickBot="1" x14ac:dyDescent="0.3">
      <c r="A154" s="280" t="s">
        <v>165</v>
      </c>
      <c r="B154" s="281"/>
      <c r="C154" s="281"/>
      <c r="D154" s="146">
        <f>D145+D153</f>
        <v>360809.09327000001</v>
      </c>
      <c r="E154" s="180">
        <f>E145+E153</f>
        <v>341883.86731</v>
      </c>
    </row>
    <row r="155" spans="1:5" ht="11.25" customHeight="1" thickBot="1" x14ac:dyDescent="0.3">
      <c r="A155" s="284"/>
      <c r="B155" s="219"/>
      <c r="C155" s="219"/>
      <c r="D155" s="219"/>
      <c r="E155" s="219"/>
    </row>
    <row r="156" spans="1:5" ht="14.25" customHeight="1" x14ac:dyDescent="0.25">
      <c r="A156" s="274" t="s">
        <v>97</v>
      </c>
      <c r="B156" s="273"/>
      <c r="C156" s="273"/>
      <c r="D156" s="273"/>
      <c r="E156" s="273"/>
    </row>
    <row r="157" spans="1:5" ht="12.75" customHeight="1" x14ac:dyDescent="0.25">
      <c r="A157" s="275" t="s">
        <v>98</v>
      </c>
      <c r="B157" s="276"/>
      <c r="C157" s="276"/>
      <c r="D157" s="276"/>
      <c r="E157" s="276"/>
    </row>
    <row r="158" spans="1:5" ht="60.75" customHeight="1" x14ac:dyDescent="0.25">
      <c r="A158" s="78" t="s">
        <v>59</v>
      </c>
      <c r="B158" s="79" t="s">
        <v>17</v>
      </c>
      <c r="C158" s="80" t="s">
        <v>99</v>
      </c>
      <c r="D158" s="25">
        <v>110000</v>
      </c>
      <c r="E158" s="32">
        <v>115046</v>
      </c>
    </row>
    <row r="159" spans="1:5" ht="24" customHeight="1" x14ac:dyDescent="0.25">
      <c r="A159" s="304" t="s">
        <v>100</v>
      </c>
      <c r="B159" s="305"/>
      <c r="C159" s="306"/>
      <c r="D159" s="81">
        <v>110000</v>
      </c>
      <c r="E159" s="82">
        <v>115046</v>
      </c>
    </row>
    <row r="160" spans="1:5" x14ac:dyDescent="0.25">
      <c r="A160" s="322" t="s">
        <v>101</v>
      </c>
      <c r="B160" s="323"/>
      <c r="C160" s="324"/>
      <c r="D160" s="324"/>
      <c r="E160" s="325"/>
    </row>
    <row r="161" spans="1:5" ht="23.25" customHeight="1" thickBot="1" x14ac:dyDescent="0.3">
      <c r="A161" s="131" t="s">
        <v>59</v>
      </c>
      <c r="B161" s="132" t="s">
        <v>18</v>
      </c>
      <c r="C161" s="133" t="s">
        <v>140</v>
      </c>
      <c r="D161" s="134">
        <v>3000</v>
      </c>
      <c r="E161" s="134">
        <v>1425.6</v>
      </c>
    </row>
    <row r="162" spans="1:5" ht="14.25" customHeight="1" thickBot="1" x14ac:dyDescent="0.3">
      <c r="A162" s="277" t="s">
        <v>103</v>
      </c>
      <c r="B162" s="310"/>
      <c r="C162" s="311"/>
      <c r="D162" s="77">
        <f>D161+D159</f>
        <v>113000</v>
      </c>
      <c r="E162" s="83">
        <f>SUM(E159+E161)</f>
        <v>116471.6</v>
      </c>
    </row>
    <row r="163" spans="1:5" ht="14.25" customHeight="1" thickBot="1" x14ac:dyDescent="0.3">
      <c r="A163" s="320" t="s">
        <v>104</v>
      </c>
      <c r="B163" s="321"/>
      <c r="C163" s="321"/>
      <c r="D163" s="321"/>
      <c r="E163" s="321"/>
    </row>
    <row r="164" spans="1:5" ht="14.25" customHeight="1" thickBot="1" x14ac:dyDescent="0.3">
      <c r="A164" s="299" t="s">
        <v>105</v>
      </c>
      <c r="B164" s="300"/>
      <c r="C164" s="301"/>
      <c r="D164" s="301"/>
      <c r="E164" s="301"/>
    </row>
    <row r="165" spans="1:5" x14ac:dyDescent="0.25">
      <c r="A165" s="84" t="s">
        <v>106</v>
      </c>
      <c r="B165" s="85"/>
      <c r="C165" s="85"/>
      <c r="D165" s="85"/>
      <c r="E165" s="191"/>
    </row>
    <row r="166" spans="1:5" x14ac:dyDescent="0.25">
      <c r="A166" s="302" t="s">
        <v>2</v>
      </c>
      <c r="B166" s="303"/>
      <c r="C166" s="72"/>
      <c r="D166" s="72">
        <f>D76</f>
        <v>385995</v>
      </c>
      <c r="E166" s="86">
        <v>347816</v>
      </c>
    </row>
    <row r="167" spans="1:5" x14ac:dyDescent="0.25">
      <c r="A167" s="302" t="s">
        <v>107</v>
      </c>
      <c r="B167" s="312"/>
      <c r="C167" s="72"/>
      <c r="D167" s="72">
        <f>D108</f>
        <v>127171</v>
      </c>
      <c r="E167" s="86">
        <v>131554</v>
      </c>
    </row>
    <row r="168" spans="1:5" x14ac:dyDescent="0.25">
      <c r="A168" s="302" t="s">
        <v>108</v>
      </c>
      <c r="B168" s="312"/>
      <c r="C168" s="87"/>
      <c r="D168" s="87">
        <v>105000</v>
      </c>
      <c r="E168" s="88">
        <v>109383</v>
      </c>
    </row>
    <row r="169" spans="1:5" ht="27" customHeight="1" thickBot="1" x14ac:dyDescent="0.3">
      <c r="A169" s="313" t="s">
        <v>111</v>
      </c>
      <c r="B169" s="314"/>
      <c r="C169" s="315"/>
      <c r="D169" s="72">
        <f>D151</f>
        <v>40000</v>
      </c>
      <c r="E169" s="86">
        <v>40000</v>
      </c>
    </row>
    <row r="170" spans="1:5" ht="15.75" thickBot="1" x14ac:dyDescent="0.3">
      <c r="A170" s="326" t="s">
        <v>109</v>
      </c>
      <c r="B170" s="308"/>
      <c r="C170" s="309"/>
      <c r="D170" s="89">
        <f>SUM(D166:D169)</f>
        <v>658166</v>
      </c>
      <c r="E170" s="90">
        <f>SUM(E166:E169)</f>
        <v>628753</v>
      </c>
    </row>
    <row r="171" spans="1:5" x14ac:dyDescent="0.25">
      <c r="A171" s="316" t="s">
        <v>110</v>
      </c>
      <c r="B171" s="317"/>
      <c r="C171" s="91"/>
      <c r="D171" s="72">
        <f>D147</f>
        <v>130000</v>
      </c>
      <c r="E171" s="72">
        <v>131817.37961999999</v>
      </c>
    </row>
    <row r="172" spans="1:5" x14ac:dyDescent="0.25">
      <c r="A172" s="318" t="s">
        <v>95</v>
      </c>
      <c r="B172" s="319"/>
      <c r="C172" s="72"/>
      <c r="D172" s="72">
        <v>53000</v>
      </c>
      <c r="E172" s="72">
        <v>60688.34</v>
      </c>
    </row>
    <row r="173" spans="1:5" ht="23.25" customHeight="1" thickBot="1" x14ac:dyDescent="0.3">
      <c r="A173" s="327" t="s">
        <v>112</v>
      </c>
      <c r="B173" s="328"/>
      <c r="C173" s="329"/>
      <c r="D173" s="92">
        <f>SUM(D170:D172)</f>
        <v>841166</v>
      </c>
      <c r="E173" s="93">
        <f>SUM(E170:E172)</f>
        <v>821258.71961999999</v>
      </c>
    </row>
    <row r="174" spans="1:5" ht="14.25" customHeight="1" thickBot="1" x14ac:dyDescent="0.3">
      <c r="A174" s="307"/>
      <c r="B174" s="308"/>
      <c r="C174" s="308"/>
      <c r="D174" s="308"/>
      <c r="E174" s="309"/>
    </row>
    <row r="175" spans="1:5" ht="9.75" customHeight="1" x14ac:dyDescent="0.25">
      <c r="A175" s="296" t="s">
        <v>113</v>
      </c>
      <c r="B175" s="297"/>
      <c r="C175" s="298"/>
      <c r="D175" s="94"/>
      <c r="E175" s="94"/>
    </row>
    <row r="176" spans="1:5" ht="15.75" thickBot="1" x14ac:dyDescent="0.3">
      <c r="A176" s="95" t="s">
        <v>114</v>
      </c>
      <c r="B176" s="96"/>
      <c r="C176" s="97"/>
      <c r="D176" s="97">
        <v>110000</v>
      </c>
      <c r="E176" s="97">
        <v>115046</v>
      </c>
    </row>
    <row r="177" spans="1:5" ht="15.75" thickBot="1" x14ac:dyDescent="0.3">
      <c r="A177" s="307"/>
      <c r="B177" s="308"/>
      <c r="C177" s="308"/>
      <c r="D177" s="308"/>
      <c r="E177" s="308"/>
    </row>
    <row r="178" spans="1:5" ht="10.5" customHeight="1" x14ac:dyDescent="0.25">
      <c r="A178" s="296" t="s">
        <v>101</v>
      </c>
      <c r="B178" s="297"/>
      <c r="C178" s="298"/>
      <c r="D178" s="94"/>
      <c r="E178" s="94"/>
    </row>
    <row r="179" spans="1:5" ht="15.75" thickBot="1" x14ac:dyDescent="0.3">
      <c r="A179" s="339" t="s">
        <v>102</v>
      </c>
      <c r="B179" s="340"/>
      <c r="C179" s="329"/>
      <c r="D179" s="97">
        <v>3000</v>
      </c>
      <c r="E179" s="97">
        <v>1425.6</v>
      </c>
    </row>
    <row r="180" spans="1:5" ht="15.75" thickBot="1" x14ac:dyDescent="0.3">
      <c r="A180" s="307"/>
      <c r="B180" s="308"/>
      <c r="C180" s="308"/>
      <c r="D180" s="308"/>
      <c r="E180" s="308"/>
    </row>
    <row r="181" spans="1:5" ht="11.25" customHeight="1" thickBot="1" x14ac:dyDescent="0.3">
      <c r="A181" s="336" t="s">
        <v>115</v>
      </c>
      <c r="B181" s="337"/>
      <c r="C181" s="338"/>
      <c r="D181" s="98">
        <f>D179+D176+D173</f>
        <v>954166</v>
      </c>
      <c r="E181" s="98">
        <f>SUM(E173+E176+E179)</f>
        <v>937730.31961999997</v>
      </c>
    </row>
    <row r="182" spans="1:5" x14ac:dyDescent="0.25">
      <c r="A182" s="99"/>
      <c r="B182" s="100"/>
      <c r="C182" s="100"/>
      <c r="D182" s="100"/>
      <c r="E182" s="192"/>
    </row>
    <row r="183" spans="1:5" ht="13.5" customHeight="1" thickBot="1" x14ac:dyDescent="0.3">
      <c r="A183" s="349" t="s">
        <v>116</v>
      </c>
      <c r="B183" s="350"/>
      <c r="C183" s="350"/>
      <c r="D183" s="350"/>
      <c r="E183" s="350"/>
    </row>
    <row r="184" spans="1:5" ht="15.75" thickBot="1" x14ac:dyDescent="0.3">
      <c r="A184" s="334" t="s">
        <v>117</v>
      </c>
      <c r="B184" s="335"/>
      <c r="C184" s="335"/>
      <c r="D184" s="335"/>
      <c r="E184" s="335"/>
    </row>
    <row r="185" spans="1:5" ht="14.25" customHeight="1" x14ac:dyDescent="0.25">
      <c r="A185" s="330" t="s">
        <v>3</v>
      </c>
      <c r="B185" s="331"/>
      <c r="C185" s="101"/>
      <c r="D185" s="101"/>
      <c r="E185" s="193"/>
    </row>
    <row r="186" spans="1:5" x14ac:dyDescent="0.25">
      <c r="A186" s="64" t="s">
        <v>4</v>
      </c>
      <c r="B186" s="55"/>
      <c r="C186" s="102"/>
      <c r="D186" s="103">
        <f>D8</f>
        <v>16000</v>
      </c>
      <c r="E186" s="103">
        <f>E8</f>
        <v>15994.494000000001</v>
      </c>
    </row>
    <row r="187" spans="1:5" x14ac:dyDescent="0.25">
      <c r="A187" s="13" t="s">
        <v>9</v>
      </c>
      <c r="B187" s="55"/>
      <c r="C187" s="63"/>
      <c r="D187" s="103">
        <f>D15</f>
        <v>81500</v>
      </c>
      <c r="E187" s="103">
        <f>E15</f>
        <v>57630.420689999999</v>
      </c>
    </row>
    <row r="188" spans="1:5" ht="17.25" customHeight="1" x14ac:dyDescent="0.25">
      <c r="A188" s="26" t="s">
        <v>16</v>
      </c>
      <c r="B188" s="55"/>
      <c r="C188" s="102"/>
      <c r="D188" s="103">
        <f>D22</f>
        <v>66995</v>
      </c>
      <c r="E188" s="103">
        <f>E22</f>
        <v>70580.054999999993</v>
      </c>
    </row>
    <row r="189" spans="1:5" x14ac:dyDescent="0.25">
      <c r="A189" s="22" t="s">
        <v>20</v>
      </c>
      <c r="B189" s="55"/>
      <c r="C189" s="103"/>
      <c r="D189" s="103">
        <f>D28</f>
        <v>91500</v>
      </c>
      <c r="E189" s="103">
        <f>E28</f>
        <v>79418.892430000007</v>
      </c>
    </row>
    <row r="190" spans="1:5" ht="15.75" thickBot="1" x14ac:dyDescent="0.3">
      <c r="A190" s="104" t="s">
        <v>24</v>
      </c>
      <c r="B190" s="105"/>
      <c r="C190" s="106"/>
      <c r="D190" s="106">
        <f>D34</f>
        <v>16000</v>
      </c>
      <c r="E190" s="106">
        <f>E34</f>
        <v>16857.046999999999</v>
      </c>
    </row>
    <row r="191" spans="1:5" ht="15.75" thickBot="1" x14ac:dyDescent="0.3">
      <c r="A191" s="332" t="s">
        <v>27</v>
      </c>
      <c r="B191" s="333"/>
      <c r="C191" s="107"/>
      <c r="D191" s="108">
        <f>SUM(D186:D190)</f>
        <v>271995</v>
      </c>
      <c r="E191" s="108">
        <f>SUM(E186:E190)</f>
        <v>240480.90912</v>
      </c>
    </row>
    <row r="192" spans="1:5" ht="13.5" customHeight="1" x14ac:dyDescent="0.25">
      <c r="A192" s="330" t="s">
        <v>28</v>
      </c>
      <c r="B192" s="331"/>
      <c r="C192" s="101"/>
      <c r="D192" s="101"/>
      <c r="E192" s="194"/>
    </row>
    <row r="193" spans="1:6" x14ac:dyDescent="0.25">
      <c r="A193" s="22" t="s">
        <v>29</v>
      </c>
      <c r="B193" s="55"/>
      <c r="C193" s="109"/>
      <c r="D193" s="103">
        <f>D46</f>
        <v>43500</v>
      </c>
      <c r="E193" s="103">
        <f>E46</f>
        <v>35332.975200000001</v>
      </c>
    </row>
    <row r="194" spans="1:6" x14ac:dyDescent="0.25">
      <c r="A194" s="22" t="s">
        <v>33</v>
      </c>
      <c r="B194" s="55"/>
      <c r="C194" s="109"/>
      <c r="D194" s="103">
        <f>D51</f>
        <v>20000</v>
      </c>
      <c r="E194" s="103">
        <f>E51</f>
        <v>20971.8</v>
      </c>
    </row>
    <row r="195" spans="1:6" x14ac:dyDescent="0.25">
      <c r="A195" s="22" t="s">
        <v>36</v>
      </c>
      <c r="B195" s="55"/>
      <c r="C195" s="109"/>
      <c r="D195" s="103">
        <f>D55</f>
        <v>16000</v>
      </c>
      <c r="E195" s="103">
        <f>E55</f>
        <v>15548</v>
      </c>
    </row>
    <row r="196" spans="1:6" x14ac:dyDescent="0.25">
      <c r="A196" s="22" t="s">
        <v>38</v>
      </c>
      <c r="B196" s="55"/>
      <c r="C196" s="109"/>
      <c r="D196" s="103">
        <f>D59</f>
        <v>13500</v>
      </c>
      <c r="E196" s="103">
        <f>E59</f>
        <v>4873.1278300000004</v>
      </c>
    </row>
    <row r="197" spans="1:6" x14ac:dyDescent="0.25">
      <c r="A197" s="22" t="s">
        <v>40</v>
      </c>
      <c r="B197" s="55"/>
      <c r="C197" s="109"/>
      <c r="D197" s="103">
        <f>D62</f>
        <v>4000</v>
      </c>
      <c r="E197" s="103">
        <f>E62</f>
        <v>4339.7262699999992</v>
      </c>
    </row>
    <row r="198" spans="1:6" ht="15.75" thickBot="1" x14ac:dyDescent="0.3">
      <c r="A198" s="104" t="s">
        <v>42</v>
      </c>
      <c r="B198" s="105"/>
      <c r="C198" s="110"/>
      <c r="D198" s="106">
        <f>D68</f>
        <v>17000</v>
      </c>
      <c r="E198" s="106">
        <f>E68</f>
        <v>18545.774130000002</v>
      </c>
    </row>
    <row r="199" spans="1:6" ht="15.75" thickBot="1" x14ac:dyDescent="0.3">
      <c r="A199" s="332" t="s">
        <v>44</v>
      </c>
      <c r="B199" s="333"/>
      <c r="C199" s="111"/>
      <c r="D199" s="108">
        <f>SUM(D193:D198)</f>
        <v>114000</v>
      </c>
      <c r="E199" s="108">
        <f>SUM(E193:E198)</f>
        <v>99611.403430000006</v>
      </c>
    </row>
    <row r="200" spans="1:6" x14ac:dyDescent="0.25">
      <c r="A200" s="351" t="s">
        <v>45</v>
      </c>
      <c r="B200" s="352"/>
      <c r="C200" s="352"/>
      <c r="D200" s="171"/>
      <c r="E200" s="171"/>
    </row>
    <row r="201" spans="1:6" x14ac:dyDescent="0.25">
      <c r="A201" s="353" t="s">
        <v>146</v>
      </c>
      <c r="B201" s="354"/>
      <c r="C201" s="354"/>
      <c r="D201" s="172">
        <v>0</v>
      </c>
      <c r="E201" s="195">
        <f>7723632.2/1000</f>
        <v>7723.6322</v>
      </c>
    </row>
    <row r="202" spans="1:6" ht="15.75" thickBot="1" x14ac:dyDescent="0.3">
      <c r="A202" s="345"/>
      <c r="B202" s="346"/>
      <c r="C202" s="346"/>
      <c r="D202" s="346"/>
      <c r="E202" s="346"/>
    </row>
    <row r="203" spans="1:6" ht="10.5" customHeight="1" thickBot="1" x14ac:dyDescent="0.3">
      <c r="A203" s="347" t="s">
        <v>118</v>
      </c>
      <c r="B203" s="348"/>
      <c r="C203" s="112"/>
      <c r="D203" s="48">
        <f>D191+D199+D200</f>
        <v>385995</v>
      </c>
      <c r="E203" s="188">
        <f>E191+E199+E200+E201</f>
        <v>347815.94475000002</v>
      </c>
    </row>
    <row r="204" spans="1:6" ht="15.75" thickBot="1" x14ac:dyDescent="0.3">
      <c r="A204" s="113"/>
      <c r="B204" s="114"/>
      <c r="C204" s="114"/>
      <c r="D204" s="114"/>
      <c r="E204" s="196"/>
    </row>
    <row r="205" spans="1:6" ht="12" customHeight="1" thickBot="1" x14ac:dyDescent="0.3">
      <c r="A205" s="334" t="s">
        <v>119</v>
      </c>
      <c r="B205" s="335"/>
      <c r="C205" s="335"/>
      <c r="D205" s="335"/>
      <c r="E205" s="335"/>
    </row>
    <row r="206" spans="1:6" x14ac:dyDescent="0.25">
      <c r="A206" s="343" t="s">
        <v>120</v>
      </c>
      <c r="B206" s="344"/>
      <c r="C206" s="50" t="s">
        <v>6</v>
      </c>
      <c r="D206" s="115">
        <f>D6+D17+D64</f>
        <v>27995</v>
      </c>
      <c r="E206" s="91">
        <f>E6+E17+E64</f>
        <v>29996.207000000002</v>
      </c>
      <c r="F206" s="161"/>
    </row>
    <row r="207" spans="1:6" x14ac:dyDescent="0.25">
      <c r="A207" s="341" t="s">
        <v>121</v>
      </c>
      <c r="B207" s="342"/>
      <c r="C207" s="55" t="s">
        <v>6</v>
      </c>
      <c r="D207" s="74">
        <f>D18+D39+D48+D65</f>
        <v>34000</v>
      </c>
      <c r="E207" s="72">
        <f>E18+E39+E48+E65</f>
        <v>26344.846140000001</v>
      </c>
      <c r="F207" s="161"/>
    </row>
    <row r="208" spans="1:6" ht="23.25" x14ac:dyDescent="0.25">
      <c r="A208" s="341" t="s">
        <v>122</v>
      </c>
      <c r="B208" s="342"/>
      <c r="C208" s="129" t="s">
        <v>11</v>
      </c>
      <c r="D208" s="74">
        <f>D10+D19+D24+D53+D32</f>
        <v>82000</v>
      </c>
      <c r="E208" s="72">
        <f>E10+E19+E24+E53+E32</f>
        <v>55953.357479999999</v>
      </c>
      <c r="F208" s="161"/>
    </row>
    <row r="209" spans="1:8" ht="23.25" x14ac:dyDescent="0.25">
      <c r="A209" s="341" t="s">
        <v>132</v>
      </c>
      <c r="B209" s="342"/>
      <c r="C209" s="135" t="s">
        <v>12</v>
      </c>
      <c r="D209" s="74">
        <f>D11+D25+D42+D61</f>
        <v>44500</v>
      </c>
      <c r="E209" s="72">
        <f>E11+E25+E42+E61</f>
        <v>41473.7022</v>
      </c>
      <c r="F209" s="161"/>
    </row>
    <row r="210" spans="1:8" x14ac:dyDescent="0.25">
      <c r="A210" s="341" t="s">
        <v>123</v>
      </c>
      <c r="B210" s="342"/>
      <c r="C210" s="55" t="s">
        <v>6</v>
      </c>
      <c r="D210" s="74">
        <f>D26+D40+D49+D54+D57</f>
        <v>46500</v>
      </c>
      <c r="E210" s="72">
        <f>E26+E40+E49+E54+E57</f>
        <v>46411.24467</v>
      </c>
      <c r="F210" s="161"/>
      <c r="H210" s="174"/>
    </row>
    <row r="211" spans="1:8" x14ac:dyDescent="0.25">
      <c r="A211" s="341" t="s">
        <v>124</v>
      </c>
      <c r="B211" s="342"/>
      <c r="C211" s="55" t="s">
        <v>133</v>
      </c>
      <c r="D211" s="74">
        <f>D12+D50+D58+D33</f>
        <v>41000</v>
      </c>
      <c r="E211" s="72">
        <f>E12+E50+E58+E33</f>
        <v>26017.084490000001</v>
      </c>
      <c r="F211" s="161"/>
    </row>
    <row r="212" spans="1:8" ht="21.75" customHeight="1" x14ac:dyDescent="0.25">
      <c r="A212" s="341" t="s">
        <v>125</v>
      </c>
      <c r="B212" s="342"/>
      <c r="C212" s="135" t="s">
        <v>143</v>
      </c>
      <c r="D212" s="74">
        <f>D44</f>
        <v>3500</v>
      </c>
      <c r="E212" s="72">
        <f>E44</f>
        <v>2073.5639999999999</v>
      </c>
      <c r="F212" s="161"/>
    </row>
    <row r="213" spans="1:8" ht="23.25" x14ac:dyDescent="0.25">
      <c r="A213" s="341" t="s">
        <v>126</v>
      </c>
      <c r="B213" s="342"/>
      <c r="C213" s="129" t="s">
        <v>141</v>
      </c>
      <c r="D213" s="74">
        <f>D30+D45</f>
        <v>9000</v>
      </c>
      <c r="E213" s="72">
        <f>E30+E45</f>
        <v>9820.5609999999997</v>
      </c>
      <c r="F213" s="161"/>
    </row>
    <row r="214" spans="1:8" ht="23.25" x14ac:dyDescent="0.25">
      <c r="A214" s="341" t="s">
        <v>127</v>
      </c>
      <c r="B214" s="342"/>
      <c r="C214" s="129" t="s">
        <v>141</v>
      </c>
      <c r="D214" s="63">
        <f>D7+D13+D21+D27+D41+D67</f>
        <v>82500</v>
      </c>
      <c r="E214" s="25">
        <f>E7+E13+E21+E27+E41+E67</f>
        <v>89877.71557</v>
      </c>
      <c r="F214" s="161"/>
    </row>
    <row r="215" spans="1:8" ht="23.25" x14ac:dyDescent="0.25">
      <c r="A215" s="341" t="s">
        <v>128</v>
      </c>
      <c r="B215" s="357"/>
      <c r="C215" s="129" t="s">
        <v>141</v>
      </c>
      <c r="D215" s="63">
        <f>D14+D20+D31</f>
        <v>15000</v>
      </c>
      <c r="E215" s="25">
        <f>E14+E20+E31</f>
        <v>12124.029999999999</v>
      </c>
      <c r="F215" s="161"/>
    </row>
    <row r="216" spans="1:8" ht="15.75" thickBot="1" x14ac:dyDescent="0.3">
      <c r="A216" s="355" t="s">
        <v>129</v>
      </c>
      <c r="B216" s="356"/>
      <c r="C216" s="116"/>
      <c r="D216" s="117">
        <f>SUM(D206:D215)</f>
        <v>385995</v>
      </c>
      <c r="E216" s="197">
        <f>SUM(E206:E215)</f>
        <v>340092.31255000003</v>
      </c>
    </row>
    <row r="217" spans="1:8" ht="15.75" thickBot="1" x14ac:dyDescent="0.3">
      <c r="A217" s="113"/>
      <c r="B217" s="114"/>
      <c r="C217" s="114"/>
      <c r="D217" s="114"/>
      <c r="E217" s="196"/>
    </row>
    <row r="218" spans="1:8" ht="9.75" customHeight="1" thickBot="1" x14ac:dyDescent="0.3">
      <c r="A218" s="118" t="s">
        <v>130</v>
      </c>
      <c r="B218" s="119"/>
      <c r="C218" s="119"/>
      <c r="D218" s="119"/>
      <c r="E218" s="198"/>
    </row>
    <row r="219" spans="1:8" x14ac:dyDescent="0.25">
      <c r="A219" s="120" t="s">
        <v>11</v>
      </c>
      <c r="B219" s="121"/>
      <c r="C219" s="122"/>
      <c r="D219" s="123">
        <f>D10+D19+D24+D53+D32</f>
        <v>82000</v>
      </c>
      <c r="E219" s="123">
        <f>E10+E19+E24+E53+E32</f>
        <v>55953.357479999999</v>
      </c>
    </row>
    <row r="220" spans="1:8" x14ac:dyDescent="0.25">
      <c r="A220" s="124" t="s">
        <v>141</v>
      </c>
      <c r="B220" s="125"/>
      <c r="C220" s="126"/>
      <c r="D220" s="127">
        <f>D7+D13+D14+D20+D21+D27+D30+D32+D41+D44+D45+D67</f>
        <v>102000</v>
      </c>
      <c r="E220" s="127">
        <f>E7+E13+E14+E20+E21+E27+E30+E32+E41+E44+E45+E67</f>
        <v>107190.55757</v>
      </c>
    </row>
    <row r="221" spans="1:8" x14ac:dyDescent="0.25">
      <c r="A221" s="124" t="s">
        <v>6</v>
      </c>
      <c r="B221" s="125"/>
      <c r="C221" s="126"/>
      <c r="D221" s="127">
        <f>D6+D17+D18+D26+D39+D40+D48+D49+D54+D57+D64+D65</f>
        <v>108495</v>
      </c>
      <c r="E221" s="127">
        <f>E6+E17+E18+E26+E39+E40+E48+E49+E54+E57+E64+E65</f>
        <v>102752.29781</v>
      </c>
    </row>
    <row r="222" spans="1:8" x14ac:dyDescent="0.25">
      <c r="A222" s="124" t="s">
        <v>133</v>
      </c>
      <c r="B222" s="125"/>
      <c r="C222" s="126"/>
      <c r="D222" s="127">
        <f>D12+D50+D58+D33</f>
        <v>41000</v>
      </c>
      <c r="E222" s="127">
        <f>E12+E50+E58+E33</f>
        <v>26017.084490000001</v>
      </c>
    </row>
    <row r="223" spans="1:8" x14ac:dyDescent="0.25">
      <c r="A223" s="128" t="s">
        <v>12</v>
      </c>
      <c r="B223" s="125"/>
      <c r="C223" s="126"/>
      <c r="D223" s="127">
        <f>D11+D25+D42+D61</f>
        <v>44500</v>
      </c>
      <c r="E223" s="127">
        <f>E11+E25+E42+E61</f>
        <v>41473.7022</v>
      </c>
    </row>
    <row r="224" spans="1:8" ht="23.25" customHeight="1" thickBot="1" x14ac:dyDescent="0.3">
      <c r="A224" s="355" t="s">
        <v>131</v>
      </c>
      <c r="B224" s="356"/>
      <c r="C224" s="116"/>
      <c r="D224" s="117">
        <f>SUM(D219:D223)</f>
        <v>377995</v>
      </c>
      <c r="E224" s="197">
        <f>SUM(E219:E223)</f>
        <v>333386.99955000001</v>
      </c>
    </row>
    <row r="225" ht="24.75" customHeight="1" x14ac:dyDescent="0.25"/>
  </sheetData>
  <mergeCells count="98">
    <mergeCell ref="A224:B224"/>
    <mergeCell ref="A210:B210"/>
    <mergeCell ref="A211:B211"/>
    <mergeCell ref="A212:B212"/>
    <mergeCell ref="A213:B213"/>
    <mergeCell ref="A214:B214"/>
    <mergeCell ref="A215:B215"/>
    <mergeCell ref="A216:B216"/>
    <mergeCell ref="A202:E202"/>
    <mergeCell ref="A203:B203"/>
    <mergeCell ref="A191:B191"/>
    <mergeCell ref="A183:E183"/>
    <mergeCell ref="A200:C200"/>
    <mergeCell ref="A201:C201"/>
    <mergeCell ref="A209:B209"/>
    <mergeCell ref="A206:B206"/>
    <mergeCell ref="A205:E205"/>
    <mergeCell ref="A207:B207"/>
    <mergeCell ref="A208:B208"/>
    <mergeCell ref="A177:E177"/>
    <mergeCell ref="A192:B192"/>
    <mergeCell ref="A199:B199"/>
    <mergeCell ref="A185:B185"/>
    <mergeCell ref="A178:C178"/>
    <mergeCell ref="A184:E184"/>
    <mergeCell ref="A180:E180"/>
    <mergeCell ref="A181:C181"/>
    <mergeCell ref="A179:C179"/>
    <mergeCell ref="A175:C175"/>
    <mergeCell ref="A164:E164"/>
    <mergeCell ref="A166:B166"/>
    <mergeCell ref="A159:C159"/>
    <mergeCell ref="A174:E174"/>
    <mergeCell ref="A162:C162"/>
    <mergeCell ref="A167:B167"/>
    <mergeCell ref="A169:C169"/>
    <mergeCell ref="A171:B171"/>
    <mergeCell ref="A172:B172"/>
    <mergeCell ref="A163:E163"/>
    <mergeCell ref="A160:E160"/>
    <mergeCell ref="A168:B168"/>
    <mergeCell ref="A170:C170"/>
    <mergeCell ref="A173:C173"/>
    <mergeCell ref="A156:E156"/>
    <mergeCell ref="A157:E157"/>
    <mergeCell ref="A127:E127"/>
    <mergeCell ref="A134:C134"/>
    <mergeCell ref="A154:C154"/>
    <mergeCell ref="A133:C133"/>
    <mergeCell ref="A155:E155"/>
    <mergeCell ref="A144:C144"/>
    <mergeCell ref="A140:E140"/>
    <mergeCell ref="A146:E146"/>
    <mergeCell ref="A145:C145"/>
    <mergeCell ref="A147:C147"/>
    <mergeCell ref="A153:C153"/>
    <mergeCell ref="A138:C138"/>
    <mergeCell ref="A148:C148"/>
    <mergeCell ref="A149:C149"/>
    <mergeCell ref="A126:E126"/>
    <mergeCell ref="A87:C87"/>
    <mergeCell ref="A79:E79"/>
    <mergeCell ref="A101:C101"/>
    <mergeCell ref="A96:E96"/>
    <mergeCell ref="A97:E97"/>
    <mergeCell ref="A108:C108"/>
    <mergeCell ref="A121:E121"/>
    <mergeCell ref="A125:C125"/>
    <mergeCell ref="A103:E103"/>
    <mergeCell ref="A102:E102"/>
    <mergeCell ref="A113:E113"/>
    <mergeCell ref="A107:C107"/>
    <mergeCell ref="A117:E117"/>
    <mergeCell ref="A119:C119"/>
    <mergeCell ref="A120:E120"/>
    <mergeCell ref="A59:C59"/>
    <mergeCell ref="A115:E115"/>
    <mergeCell ref="A114:C114"/>
    <mergeCell ref="A116:E116"/>
    <mergeCell ref="A78:E78"/>
    <mergeCell ref="A1:E1"/>
    <mergeCell ref="A22:C22"/>
    <mergeCell ref="A28:C28"/>
    <mergeCell ref="A15:C15"/>
    <mergeCell ref="A8:C8"/>
    <mergeCell ref="A34:C34"/>
    <mergeCell ref="A62:C62"/>
    <mergeCell ref="A77:E77"/>
    <mergeCell ref="A76:C76"/>
    <mergeCell ref="A71:E71"/>
    <mergeCell ref="A72:C72"/>
    <mergeCell ref="A69:C69"/>
    <mergeCell ref="A74:C74"/>
    <mergeCell ref="A36:C36"/>
    <mergeCell ref="A68:C68"/>
    <mergeCell ref="A46:C46"/>
    <mergeCell ref="A51:C51"/>
    <mergeCell ref="A55:C55"/>
  </mergeCells>
  <phoneticPr fontId="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Plán 2017,2018-2019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Messias</dc:creator>
  <cp:lastModifiedBy>Hana POLÍVKOVÁ</cp:lastModifiedBy>
  <cp:lastPrinted>2016-07-19T11:15:31Z</cp:lastPrinted>
  <dcterms:created xsi:type="dcterms:W3CDTF">2016-04-18T22:40:34Z</dcterms:created>
  <dcterms:modified xsi:type="dcterms:W3CDTF">2018-06-01T13:55:11Z</dcterms:modified>
</cp:coreProperties>
</file>